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tables/table13.xml" ContentType="application/vnd.openxmlformats-officedocument.spreadsheetml.table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omments6.xml" ContentType="application/vnd.openxmlformats-officedocument.spreadsheetml.comments+xml"/>
  <Override PartName="/xl/threadedComments/threadedComment6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zmelter\Documents\Documents\aga 5 luty duzy\artykuły\analizy komercyjnie\EUConsult Wielkopolska\załączniki do wysłania 15.03.2021\Załącznik 4. luka finansowa\"/>
    </mc:Choice>
  </mc:AlternateContent>
  <xr:revisionPtr revIDLastSave="0" documentId="13_ncr:1_{78916965-8BEE-492B-AFFB-064FCCCD4945}" xr6:coauthVersionLast="46" xr6:coauthVersionMax="46" xr10:uidLastSave="{00000000-0000-0000-0000-000000000000}"/>
  <bookViews>
    <workbookView xWindow="-108" yWindow="-108" windowWidth="23256" windowHeight="12576" firstSheet="7" activeTab="7" xr2:uid="{00000000-000D-0000-FFFF-FFFF00000000}"/>
  </bookViews>
  <sheets>
    <sheet name="5.1.1 PKB" sheetId="34" r:id="rId1"/>
    <sheet name="5.1.1 Nakłady B+R" sheetId="35" r:id="rId2"/>
    <sheet name="5.1.1 Nakłady_razem" sheetId="43" r:id="rId3"/>
    <sheet name="5.1.1 Nakłady lata" sheetId="46" r:id="rId4"/>
    <sheet name="5.1.2 Fin. zew_woj" sheetId="38" r:id="rId5"/>
    <sheet name="5.1.2 Fin. ze. lata" sheetId="40" r:id="rId6"/>
    <sheet name="5.1.3 Podmioty REGON" sheetId="2" r:id="rId7"/>
    <sheet name="5.1.3 Przeds. nowopowst." sheetId="6" r:id="rId8"/>
    <sheet name="5.1.3 Przeds. niefinansowe" sheetId="5" r:id="rId9"/>
    <sheet name="5.1.3 Plany inwestycyjne" sheetId="14" r:id="rId10"/>
    <sheet name="5.1.3 SL IF Pożyczki" sheetId="18" r:id="rId11"/>
    <sheet name="5.1.3 Luka_woj" sheetId="41" r:id="rId12"/>
    <sheet name="5.1.3 Luka_lata" sheetId="47" r:id="rId13"/>
    <sheet name="5.1.4 Luka kapitał" sheetId="48" r:id="rId14"/>
    <sheet name="5.1.4 Luka_kapitał_lata" sheetId="49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4" i="41" l="1"/>
  <c r="W19" i="48" l="1"/>
  <c r="W18" i="48"/>
  <c r="D5" i="46" l="1"/>
  <c r="D6" i="46" s="1"/>
  <c r="D7" i="46" s="1"/>
  <c r="D8" i="46" s="1"/>
  <c r="D9" i="46" s="1"/>
  <c r="D10" i="46" s="1"/>
  <c r="D11" i="46" s="1"/>
  <c r="E5" i="46"/>
  <c r="E6" i="46" s="1"/>
  <c r="E7" i="46" s="1"/>
  <c r="E8" i="46" s="1"/>
  <c r="E9" i="46" s="1"/>
  <c r="E10" i="46" s="1"/>
  <c r="E11" i="46" s="1"/>
  <c r="F5" i="46"/>
  <c r="F6" i="46" s="1"/>
  <c r="F7" i="46" s="1"/>
  <c r="F8" i="46" s="1"/>
  <c r="F9" i="46" s="1"/>
  <c r="F10" i="46" s="1"/>
  <c r="F11" i="46" s="1"/>
  <c r="G5" i="46"/>
  <c r="G6" i="46"/>
  <c r="G7" i="46" s="1"/>
  <c r="G8" i="46" s="1"/>
  <c r="G9" i="46" s="1"/>
  <c r="G10" i="46" s="1"/>
  <c r="G11" i="46" s="1"/>
  <c r="E4" i="46"/>
  <c r="F4" i="46"/>
  <c r="G4" i="46"/>
  <c r="D4" i="46"/>
  <c r="E3" i="46"/>
  <c r="F3" i="46"/>
  <c r="G3" i="46"/>
  <c r="D3" i="46"/>
  <c r="D2" i="35"/>
  <c r="E2" i="35" s="1"/>
  <c r="F2" i="35" s="1"/>
  <c r="G2" i="35" s="1"/>
  <c r="H2" i="35" s="1"/>
  <c r="I2" i="35" s="1"/>
  <c r="J2" i="35" s="1"/>
  <c r="K2" i="35" s="1"/>
  <c r="L2" i="35" s="1"/>
  <c r="M2" i="35" s="1"/>
  <c r="D14" i="48"/>
  <c r="Q6" i="43"/>
  <c r="P6" i="43"/>
  <c r="P3" i="48"/>
  <c r="P4" i="48"/>
  <c r="P5" i="48"/>
  <c r="P6" i="48"/>
  <c r="P7" i="48"/>
  <c r="P8" i="48"/>
  <c r="P9" i="48"/>
  <c r="P10" i="48"/>
  <c r="P11" i="48"/>
  <c r="P12" i="48"/>
  <c r="P13" i="48"/>
  <c r="P14" i="48"/>
  <c r="P15" i="48"/>
  <c r="P16" i="48"/>
  <c r="P17" i="48"/>
  <c r="P18" i="48"/>
  <c r="P2" i="48"/>
  <c r="O3" i="48"/>
  <c r="O4" i="48"/>
  <c r="O5" i="48"/>
  <c r="O6" i="48"/>
  <c r="O7" i="48"/>
  <c r="O8" i="48"/>
  <c r="O9" i="48"/>
  <c r="O10" i="48"/>
  <c r="O11" i="48"/>
  <c r="O12" i="48"/>
  <c r="O13" i="48"/>
  <c r="O14" i="48"/>
  <c r="O15" i="48"/>
  <c r="O16" i="48"/>
  <c r="O17" i="48"/>
  <c r="O18" i="48"/>
  <c r="O2" i="48"/>
  <c r="K4" i="41"/>
  <c r="J4" i="41"/>
  <c r="I4" i="41"/>
  <c r="AC4" i="14"/>
  <c r="AC8" i="14" s="1"/>
  <c r="AD4" i="14"/>
  <c r="AD8" i="14" s="1"/>
  <c r="AE4" i="14"/>
  <c r="AE8" i="14" s="1"/>
  <c r="AB4" i="14"/>
  <c r="AB8" i="14" s="1"/>
  <c r="AG2" i="38"/>
  <c r="G4" i="41" l="1"/>
  <c r="H4" i="41"/>
  <c r="D5" i="34"/>
  <c r="E5" i="34" s="1"/>
  <c r="F5" i="34" s="1"/>
  <c r="G5" i="34" s="1"/>
  <c r="H5" i="34" s="1"/>
  <c r="I5" i="34" s="1"/>
  <c r="J5" i="34" s="1"/>
  <c r="K5" i="34" s="1"/>
  <c r="L5" i="34" s="1"/>
  <c r="M5" i="34" s="1"/>
  <c r="N5" i="34" s="1"/>
  <c r="D6" i="34"/>
  <c r="E6" i="34" s="1"/>
  <c r="F6" i="34" s="1"/>
  <c r="G6" i="34" s="1"/>
  <c r="H6" i="34" s="1"/>
  <c r="I6" i="34" s="1"/>
  <c r="J6" i="34" s="1"/>
  <c r="K6" i="34" s="1"/>
  <c r="L6" i="34" s="1"/>
  <c r="M6" i="34" s="1"/>
  <c r="N6" i="34" s="1"/>
  <c r="D7" i="34"/>
  <c r="E7" i="34" s="1"/>
  <c r="F7" i="34" s="1"/>
  <c r="G7" i="34" s="1"/>
  <c r="H7" i="34" s="1"/>
  <c r="I7" i="34" s="1"/>
  <c r="J7" i="34" s="1"/>
  <c r="K7" i="34" s="1"/>
  <c r="L7" i="34" s="1"/>
  <c r="M7" i="34" s="1"/>
  <c r="N7" i="34" s="1"/>
  <c r="D8" i="34"/>
  <c r="E8" i="34" s="1"/>
  <c r="F8" i="34" s="1"/>
  <c r="G8" i="34" s="1"/>
  <c r="H8" i="34" s="1"/>
  <c r="I8" i="34" s="1"/>
  <c r="J8" i="34" s="1"/>
  <c r="K8" i="34" s="1"/>
  <c r="L8" i="34" s="1"/>
  <c r="M8" i="34" s="1"/>
  <c r="N8" i="34" s="1"/>
  <c r="D9" i="34"/>
  <c r="E9" i="34" s="1"/>
  <c r="F9" i="34" s="1"/>
  <c r="G9" i="34" s="1"/>
  <c r="H9" i="34" s="1"/>
  <c r="I9" i="34" s="1"/>
  <c r="J9" i="34" s="1"/>
  <c r="K9" i="34" s="1"/>
  <c r="L9" i="34" s="1"/>
  <c r="M9" i="34" s="1"/>
  <c r="N9" i="34" s="1"/>
  <c r="D10" i="34"/>
  <c r="E10" i="34" s="1"/>
  <c r="F10" i="34" s="1"/>
  <c r="G10" i="34" s="1"/>
  <c r="H10" i="34" s="1"/>
  <c r="I10" i="34" s="1"/>
  <c r="J10" i="34" s="1"/>
  <c r="K10" i="34" s="1"/>
  <c r="L10" i="34" s="1"/>
  <c r="M10" i="34" s="1"/>
  <c r="N10" i="34" s="1"/>
  <c r="D11" i="34"/>
  <c r="E11" i="34" s="1"/>
  <c r="F11" i="34" s="1"/>
  <c r="G11" i="34" s="1"/>
  <c r="H11" i="34" s="1"/>
  <c r="I11" i="34" s="1"/>
  <c r="J11" i="34" s="1"/>
  <c r="K11" i="34" s="1"/>
  <c r="L11" i="34" s="1"/>
  <c r="M11" i="34" s="1"/>
  <c r="N11" i="34" s="1"/>
  <c r="D12" i="34"/>
  <c r="E12" i="34" s="1"/>
  <c r="F12" i="34" s="1"/>
  <c r="G12" i="34" s="1"/>
  <c r="H12" i="34" s="1"/>
  <c r="I12" i="34" s="1"/>
  <c r="J12" i="34" s="1"/>
  <c r="K12" i="34" s="1"/>
  <c r="L12" i="34" s="1"/>
  <c r="M12" i="34" s="1"/>
  <c r="N12" i="34" s="1"/>
  <c r="D13" i="34"/>
  <c r="E13" i="34" s="1"/>
  <c r="F13" i="34" s="1"/>
  <c r="G13" i="34" s="1"/>
  <c r="H13" i="34" s="1"/>
  <c r="I13" i="34" s="1"/>
  <c r="J13" i="34" s="1"/>
  <c r="K13" i="34" s="1"/>
  <c r="L13" i="34" s="1"/>
  <c r="M13" i="34" s="1"/>
  <c r="N13" i="34" s="1"/>
  <c r="D14" i="34"/>
  <c r="E14" i="34" s="1"/>
  <c r="F14" i="34" s="1"/>
  <c r="G14" i="34" s="1"/>
  <c r="H14" i="34" s="1"/>
  <c r="I14" i="34" s="1"/>
  <c r="J14" i="34" s="1"/>
  <c r="K14" i="34" s="1"/>
  <c r="L14" i="34" s="1"/>
  <c r="M14" i="34" s="1"/>
  <c r="N14" i="34" s="1"/>
  <c r="D15" i="34"/>
  <c r="E15" i="34" s="1"/>
  <c r="F15" i="34" s="1"/>
  <c r="G15" i="34" s="1"/>
  <c r="H15" i="34" s="1"/>
  <c r="I15" i="34" s="1"/>
  <c r="J15" i="34" s="1"/>
  <c r="K15" i="34" s="1"/>
  <c r="L15" i="34" s="1"/>
  <c r="M15" i="34" s="1"/>
  <c r="N15" i="34" s="1"/>
  <c r="D16" i="34"/>
  <c r="E16" i="34" s="1"/>
  <c r="F16" i="34" s="1"/>
  <c r="G16" i="34" s="1"/>
  <c r="H16" i="34" s="1"/>
  <c r="I16" i="34" s="1"/>
  <c r="J16" i="34" s="1"/>
  <c r="K16" i="34" s="1"/>
  <c r="L16" i="34" s="1"/>
  <c r="M16" i="34" s="1"/>
  <c r="N16" i="34" s="1"/>
  <c r="D17" i="34"/>
  <c r="E17" i="34" s="1"/>
  <c r="F17" i="34" s="1"/>
  <c r="G17" i="34" s="1"/>
  <c r="H17" i="34" s="1"/>
  <c r="I17" i="34" s="1"/>
  <c r="J17" i="34" s="1"/>
  <c r="K17" i="34" s="1"/>
  <c r="L17" i="34" s="1"/>
  <c r="M17" i="34" s="1"/>
  <c r="N17" i="34" s="1"/>
  <c r="D18" i="34"/>
  <c r="E18" i="34" s="1"/>
  <c r="F18" i="34" s="1"/>
  <c r="G18" i="34" s="1"/>
  <c r="H18" i="34" s="1"/>
  <c r="I18" i="34" s="1"/>
  <c r="J18" i="34" s="1"/>
  <c r="K18" i="34" s="1"/>
  <c r="L18" i="34" s="1"/>
  <c r="M18" i="34" s="1"/>
  <c r="N18" i="34" s="1"/>
  <c r="D19" i="34"/>
  <c r="E19" i="34" s="1"/>
  <c r="F19" i="34" s="1"/>
  <c r="G19" i="34" s="1"/>
  <c r="H19" i="34" s="1"/>
  <c r="I19" i="34" s="1"/>
  <c r="J19" i="34" s="1"/>
  <c r="K19" i="34" s="1"/>
  <c r="L19" i="34" s="1"/>
  <c r="M19" i="34" s="1"/>
  <c r="N19" i="34" s="1"/>
  <c r="D20" i="34"/>
  <c r="E20" i="34" s="1"/>
  <c r="F20" i="34" s="1"/>
  <c r="G20" i="34" s="1"/>
  <c r="H20" i="34" s="1"/>
  <c r="I20" i="34" s="1"/>
  <c r="J20" i="34" s="1"/>
  <c r="K20" i="34" s="1"/>
  <c r="L20" i="34" s="1"/>
  <c r="M20" i="34" s="1"/>
  <c r="N20" i="34" s="1"/>
  <c r="D4" i="34"/>
  <c r="E4" i="34" s="1"/>
  <c r="F4" i="34" s="1"/>
  <c r="G4" i="34" s="1"/>
  <c r="H4" i="34" s="1"/>
  <c r="I4" i="34" s="1"/>
  <c r="J4" i="34" s="1"/>
  <c r="K4" i="34" s="1"/>
  <c r="L4" i="34" s="1"/>
  <c r="M4" i="34" s="1"/>
  <c r="N4" i="34" s="1"/>
  <c r="D3" i="48" l="1"/>
  <c r="F3" i="48" s="1"/>
  <c r="H3" i="48" s="1"/>
  <c r="D4" i="48"/>
  <c r="F4" i="48" s="1"/>
  <c r="H4" i="48" s="1"/>
  <c r="D5" i="48"/>
  <c r="F5" i="48" s="1"/>
  <c r="H5" i="48" s="1"/>
  <c r="D6" i="48"/>
  <c r="F6" i="48" s="1"/>
  <c r="H6" i="48" s="1"/>
  <c r="D7" i="48"/>
  <c r="F7" i="48" s="1"/>
  <c r="H7" i="48" s="1"/>
  <c r="J7" i="48" s="1"/>
  <c r="D8" i="48"/>
  <c r="F8" i="48" s="1"/>
  <c r="H8" i="48" s="1"/>
  <c r="D9" i="48"/>
  <c r="F9" i="48" s="1"/>
  <c r="H9" i="48" s="1"/>
  <c r="J9" i="48" s="1"/>
  <c r="M9" i="48" s="1"/>
  <c r="S9" i="48" s="1"/>
  <c r="D10" i="48"/>
  <c r="F10" i="48" s="1"/>
  <c r="H10" i="48" s="1"/>
  <c r="D11" i="48"/>
  <c r="F11" i="48" s="1"/>
  <c r="H11" i="48" s="1"/>
  <c r="D12" i="48"/>
  <c r="D13" i="48"/>
  <c r="F13" i="48" s="1"/>
  <c r="H13" i="48" s="1"/>
  <c r="F14" i="48"/>
  <c r="H14" i="48" s="1"/>
  <c r="D15" i="48"/>
  <c r="F15" i="48" s="1"/>
  <c r="H15" i="48" s="1"/>
  <c r="D16" i="48"/>
  <c r="F16" i="48" s="1"/>
  <c r="H16" i="48" s="1"/>
  <c r="D17" i="48"/>
  <c r="F17" i="48" s="1"/>
  <c r="H17" i="48" s="1"/>
  <c r="J17" i="48" s="1"/>
  <c r="M17" i="48" s="1"/>
  <c r="S17" i="48" s="1"/>
  <c r="D18" i="48"/>
  <c r="F18" i="48" s="1"/>
  <c r="H18" i="48" s="1"/>
  <c r="D2" i="48"/>
  <c r="F2" i="48" s="1"/>
  <c r="H2" i="48" s="1"/>
  <c r="F12" i="48" l="1"/>
  <c r="H12" i="48" s="1"/>
  <c r="J12" i="48" s="1"/>
  <c r="J8" i="48"/>
  <c r="Q8" i="48" s="1"/>
  <c r="J6" i="48"/>
  <c r="J15" i="48"/>
  <c r="K15" i="48" s="1"/>
  <c r="J13" i="48"/>
  <c r="K13" i="48" s="1"/>
  <c r="J4" i="48"/>
  <c r="K4" i="48" s="1"/>
  <c r="M7" i="48"/>
  <c r="S7" i="48" s="1"/>
  <c r="Q7" i="48"/>
  <c r="K7" i="48"/>
  <c r="J14" i="48"/>
  <c r="K14" i="48" s="1"/>
  <c r="J5" i="48"/>
  <c r="J18" i="48"/>
  <c r="J11" i="48"/>
  <c r="K9" i="48"/>
  <c r="Q17" i="48"/>
  <c r="U17" i="48" s="1"/>
  <c r="J10" i="48"/>
  <c r="J3" i="48"/>
  <c r="J16" i="48"/>
  <c r="K17" i="48"/>
  <c r="Q9" i="48"/>
  <c r="U9" i="48" s="1"/>
  <c r="J2" i="48"/>
  <c r="U7" i="48" l="1"/>
  <c r="K8" i="48"/>
  <c r="R8" i="48" s="1"/>
  <c r="M8" i="48"/>
  <c r="S8" i="48" s="1"/>
  <c r="U8" i="48" s="1"/>
  <c r="N13" i="48"/>
  <c r="T13" i="48" s="1"/>
  <c r="R13" i="48"/>
  <c r="R15" i="48"/>
  <c r="N15" i="48"/>
  <c r="T15" i="48" s="1"/>
  <c r="M12" i="48"/>
  <c r="S12" i="48" s="1"/>
  <c r="Q12" i="48"/>
  <c r="N4" i="48"/>
  <c r="T4" i="48" s="1"/>
  <c r="R4" i="48"/>
  <c r="M16" i="48"/>
  <c r="S16" i="48" s="1"/>
  <c r="Q16" i="48"/>
  <c r="K12" i="48"/>
  <c r="Q3" i="48"/>
  <c r="M3" i="48"/>
  <c r="S3" i="48" s="1"/>
  <c r="Q11" i="48"/>
  <c r="M11" i="48"/>
  <c r="S11" i="48" s="1"/>
  <c r="R14" i="48"/>
  <c r="N14" i="48"/>
  <c r="T14" i="48" s="1"/>
  <c r="K3" i="48"/>
  <c r="K11" i="48"/>
  <c r="Q14" i="48"/>
  <c r="M14" i="48"/>
  <c r="S14" i="48" s="1"/>
  <c r="Q13" i="48"/>
  <c r="M13" i="48"/>
  <c r="S13" i="48" s="1"/>
  <c r="M10" i="48"/>
  <c r="S10" i="48" s="1"/>
  <c r="Q10" i="48"/>
  <c r="R7" i="48"/>
  <c r="N7" i="48"/>
  <c r="T7" i="48" s="1"/>
  <c r="M2" i="48"/>
  <c r="S2" i="48" s="1"/>
  <c r="H3" i="49" s="1"/>
  <c r="Q5" i="48"/>
  <c r="M5" i="48"/>
  <c r="S5" i="48" s="1"/>
  <c r="Q6" i="48"/>
  <c r="M6" i="48"/>
  <c r="S6" i="48" s="1"/>
  <c r="N17" i="48"/>
  <c r="T17" i="48" s="1"/>
  <c r="R17" i="48"/>
  <c r="M18" i="48"/>
  <c r="S18" i="48" s="1"/>
  <c r="Q18" i="48"/>
  <c r="M15" i="48"/>
  <c r="S15" i="48" s="1"/>
  <c r="Q15" i="48"/>
  <c r="K10" i="48"/>
  <c r="K18" i="48"/>
  <c r="K16" i="48"/>
  <c r="K2" i="48"/>
  <c r="N9" i="48"/>
  <c r="T9" i="48" s="1"/>
  <c r="R9" i="48"/>
  <c r="K5" i="48"/>
  <c r="Q4" i="48"/>
  <c r="M4" i="48"/>
  <c r="S4" i="48" s="1"/>
  <c r="K6" i="48"/>
  <c r="U10" i="48" l="1"/>
  <c r="Q2" i="48"/>
  <c r="E3" i="49" s="1"/>
  <c r="U15" i="48"/>
  <c r="V4" i="48"/>
  <c r="U14" i="48"/>
  <c r="V17" i="48"/>
  <c r="W17" i="48" s="1"/>
  <c r="N8" i="48"/>
  <c r="T8" i="48" s="1"/>
  <c r="V8" i="48" s="1"/>
  <c r="W8" i="48" s="1"/>
  <c r="V15" i="48"/>
  <c r="V7" i="48"/>
  <c r="W7" i="48" s="1"/>
  <c r="U16" i="48"/>
  <c r="V13" i="48"/>
  <c r="U3" i="48"/>
  <c r="U6" i="48"/>
  <c r="V14" i="48"/>
  <c r="U4" i="48"/>
  <c r="U5" i="48"/>
  <c r="U13" i="48"/>
  <c r="U11" i="48"/>
  <c r="U12" i="48"/>
  <c r="V9" i="48"/>
  <c r="W9" i="48" s="1"/>
  <c r="U18" i="48"/>
  <c r="N16" i="48"/>
  <c r="T16" i="48" s="1"/>
  <c r="R16" i="48"/>
  <c r="N10" i="48"/>
  <c r="T10" i="48" s="1"/>
  <c r="R10" i="48"/>
  <c r="N3" i="48"/>
  <c r="T3" i="48" s="1"/>
  <c r="R3" i="48"/>
  <c r="R6" i="48"/>
  <c r="N6" i="48"/>
  <c r="T6" i="48" s="1"/>
  <c r="R5" i="48"/>
  <c r="N5" i="48"/>
  <c r="T5" i="48" s="1"/>
  <c r="N18" i="48"/>
  <c r="T18" i="48" s="1"/>
  <c r="R18" i="48"/>
  <c r="N2" i="48"/>
  <c r="T2" i="48" s="1"/>
  <c r="I3" i="49" s="1"/>
  <c r="N11" i="48"/>
  <c r="T11" i="48" s="1"/>
  <c r="R11" i="48"/>
  <c r="R12" i="48"/>
  <c r="N12" i="48"/>
  <c r="T12" i="48" s="1"/>
  <c r="S3" i="43"/>
  <c r="S4" i="43"/>
  <c r="S5" i="43"/>
  <c r="S6" i="43"/>
  <c r="S7" i="43"/>
  <c r="S8" i="43"/>
  <c r="S9" i="43"/>
  <c r="S10" i="43"/>
  <c r="S11" i="43"/>
  <c r="S12" i="43"/>
  <c r="S13" i="43"/>
  <c r="S14" i="43"/>
  <c r="S15" i="43"/>
  <c r="S16" i="43"/>
  <c r="S17" i="43"/>
  <c r="S18" i="43"/>
  <c r="S2" i="43"/>
  <c r="R3" i="43"/>
  <c r="R4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2" i="43"/>
  <c r="Q3" i="43"/>
  <c r="Q4" i="43"/>
  <c r="Q5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2" i="43"/>
  <c r="P3" i="43"/>
  <c r="P4" i="43"/>
  <c r="P5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2" i="43"/>
  <c r="W15" i="48" l="1"/>
  <c r="W4" i="48"/>
  <c r="U2" i="48"/>
  <c r="J3" i="49" s="1"/>
  <c r="O4" i="43"/>
  <c r="O12" i="43"/>
  <c r="V5" i="48"/>
  <c r="W5" i="48" s="1"/>
  <c r="W14" i="48"/>
  <c r="W13" i="48"/>
  <c r="V12" i="48"/>
  <c r="W12" i="48" s="1"/>
  <c r="O2" i="43"/>
  <c r="O3" i="43"/>
  <c r="O11" i="43"/>
  <c r="V3" i="48"/>
  <c r="W3" i="48" s="1"/>
  <c r="R2" i="48"/>
  <c r="V18" i="48"/>
  <c r="V10" i="48"/>
  <c r="W10" i="48" s="1"/>
  <c r="V16" i="48"/>
  <c r="W16" i="48" s="1"/>
  <c r="V11" i="48"/>
  <c r="W11" i="48" s="1"/>
  <c r="V6" i="48"/>
  <c r="W6" i="48" s="1"/>
  <c r="O15" i="43"/>
  <c r="O7" i="43"/>
  <c r="O14" i="43"/>
  <c r="O6" i="43"/>
  <c r="O13" i="43"/>
  <c r="O5" i="43"/>
  <c r="O18" i="43"/>
  <c r="O10" i="43"/>
  <c r="O17" i="43"/>
  <c r="O9" i="43"/>
  <c r="O16" i="43"/>
  <c r="O8" i="43"/>
  <c r="AK3" i="43"/>
  <c r="AQ3" i="43" s="1"/>
  <c r="C5" i="38" s="1"/>
  <c r="AK4" i="43"/>
  <c r="AQ4" i="43" s="1"/>
  <c r="C6" i="38" s="1"/>
  <c r="AK5" i="43"/>
  <c r="AQ5" i="43" s="1"/>
  <c r="C7" i="38" s="1"/>
  <c r="AK6" i="43"/>
  <c r="AQ6" i="43" s="1"/>
  <c r="C8" i="38" s="1"/>
  <c r="AK7" i="43"/>
  <c r="AQ7" i="43" s="1"/>
  <c r="C9" i="38" s="1"/>
  <c r="AK8" i="43"/>
  <c r="AQ8" i="43" s="1"/>
  <c r="C10" i="38" s="1"/>
  <c r="AK9" i="43"/>
  <c r="AQ9" i="43" s="1"/>
  <c r="C11" i="38" s="1"/>
  <c r="AK10" i="43"/>
  <c r="AQ10" i="43" s="1"/>
  <c r="C12" i="38" s="1"/>
  <c r="AK11" i="43"/>
  <c r="AQ11" i="43" s="1"/>
  <c r="C13" i="38" s="1"/>
  <c r="AK12" i="43"/>
  <c r="AQ12" i="43" s="1"/>
  <c r="C14" i="38" s="1"/>
  <c r="AK13" i="43"/>
  <c r="AQ13" i="43" s="1"/>
  <c r="C15" i="38" s="1"/>
  <c r="AK14" i="43"/>
  <c r="AQ14" i="43" s="1"/>
  <c r="C16" i="38" s="1"/>
  <c r="AK15" i="43"/>
  <c r="AQ15" i="43" s="1"/>
  <c r="C17" i="38" s="1"/>
  <c r="AK16" i="43"/>
  <c r="AQ16" i="43" s="1"/>
  <c r="C18" i="38" s="1"/>
  <c r="AK17" i="43"/>
  <c r="AQ17" i="43" s="1"/>
  <c r="C19" i="38" s="1"/>
  <c r="AK18" i="43"/>
  <c r="AQ18" i="43" s="1"/>
  <c r="C20" i="38" s="1"/>
  <c r="AJ3" i="43"/>
  <c r="AP3" i="43" s="1"/>
  <c r="AJ4" i="43"/>
  <c r="AP4" i="43" s="1"/>
  <c r="AV4" i="43" s="1"/>
  <c r="AJ5" i="43"/>
  <c r="AP5" i="43" s="1"/>
  <c r="AV5" i="43" s="1"/>
  <c r="AJ6" i="43"/>
  <c r="AP6" i="43" s="1"/>
  <c r="AV6" i="43" s="1"/>
  <c r="AJ7" i="43"/>
  <c r="AP7" i="43" s="1"/>
  <c r="AV7" i="43" s="1"/>
  <c r="AJ8" i="43"/>
  <c r="AP8" i="43" s="1"/>
  <c r="AV8" i="43" s="1"/>
  <c r="AJ9" i="43"/>
  <c r="AP9" i="43" s="1"/>
  <c r="AV9" i="43" s="1"/>
  <c r="AJ10" i="43"/>
  <c r="AP10" i="43" s="1"/>
  <c r="AV10" i="43" s="1"/>
  <c r="AJ11" i="43"/>
  <c r="AP11" i="43" s="1"/>
  <c r="AV11" i="43" s="1"/>
  <c r="AJ12" i="43"/>
  <c r="AP12" i="43" s="1"/>
  <c r="AV12" i="43" s="1"/>
  <c r="AJ13" i="43"/>
  <c r="AP13" i="43" s="1"/>
  <c r="AV13" i="43" s="1"/>
  <c r="AJ14" i="43"/>
  <c r="AP14" i="43" s="1"/>
  <c r="AV14" i="43" s="1"/>
  <c r="AJ15" i="43"/>
  <c r="AP15" i="43" s="1"/>
  <c r="AV15" i="43" s="1"/>
  <c r="AJ16" i="43"/>
  <c r="AP16" i="43" s="1"/>
  <c r="AV16" i="43" s="1"/>
  <c r="AJ17" i="43"/>
  <c r="AP17" i="43" s="1"/>
  <c r="AV17" i="43" s="1"/>
  <c r="AJ18" i="43"/>
  <c r="AP18" i="43" s="1"/>
  <c r="AV18" i="43" s="1"/>
  <c r="AI3" i="43"/>
  <c r="AI4" i="43"/>
  <c r="AO4" i="43" s="1"/>
  <c r="AU4" i="43" s="1"/>
  <c r="AI5" i="43"/>
  <c r="AO5" i="43" s="1"/>
  <c r="AU5" i="43" s="1"/>
  <c r="AI6" i="43"/>
  <c r="AO6" i="43" s="1"/>
  <c r="AU6" i="43" s="1"/>
  <c r="AI7" i="43"/>
  <c r="AO7" i="43" s="1"/>
  <c r="AU7" i="43" s="1"/>
  <c r="AI8" i="43"/>
  <c r="AO8" i="43" s="1"/>
  <c r="AU8" i="43" s="1"/>
  <c r="AI9" i="43"/>
  <c r="AO9" i="43" s="1"/>
  <c r="AU9" i="43" s="1"/>
  <c r="AI10" i="43"/>
  <c r="AO10" i="43" s="1"/>
  <c r="AU10" i="43" s="1"/>
  <c r="AI11" i="43"/>
  <c r="AO11" i="43" s="1"/>
  <c r="AU11" i="43" s="1"/>
  <c r="AI12" i="43"/>
  <c r="AO12" i="43" s="1"/>
  <c r="AU12" i="43" s="1"/>
  <c r="AI13" i="43"/>
  <c r="AO13" i="43" s="1"/>
  <c r="AU13" i="43" s="1"/>
  <c r="AI14" i="43"/>
  <c r="AO14" i="43" s="1"/>
  <c r="AU14" i="43" s="1"/>
  <c r="AI15" i="43"/>
  <c r="AO15" i="43" s="1"/>
  <c r="AU15" i="43" s="1"/>
  <c r="AI16" i="43"/>
  <c r="AO16" i="43" s="1"/>
  <c r="AU16" i="43" s="1"/>
  <c r="AI17" i="43"/>
  <c r="AO17" i="43" s="1"/>
  <c r="AU17" i="43" s="1"/>
  <c r="AI18" i="43"/>
  <c r="AO18" i="43" s="1"/>
  <c r="AU18" i="43" s="1"/>
  <c r="AH3" i="43"/>
  <c r="AH4" i="43"/>
  <c r="AN4" i="43" s="1"/>
  <c r="AH5" i="43"/>
  <c r="AN5" i="43" s="1"/>
  <c r="AH6" i="43"/>
  <c r="AN6" i="43" s="1"/>
  <c r="AH7" i="43"/>
  <c r="AN7" i="43" s="1"/>
  <c r="AH8" i="43"/>
  <c r="AN8" i="43" s="1"/>
  <c r="AH9" i="43"/>
  <c r="AG9" i="43" s="1"/>
  <c r="AH10" i="43"/>
  <c r="AN10" i="43" s="1"/>
  <c r="AH11" i="43"/>
  <c r="AN11" i="43" s="1"/>
  <c r="AH12" i="43"/>
  <c r="AN12" i="43" s="1"/>
  <c r="AH13" i="43"/>
  <c r="AN13" i="43" s="1"/>
  <c r="AH14" i="43"/>
  <c r="AG14" i="43" s="1"/>
  <c r="AH15" i="43"/>
  <c r="AN15" i="43" s="1"/>
  <c r="AH16" i="43"/>
  <c r="AF16" i="43" s="1"/>
  <c r="AH17" i="43"/>
  <c r="AG17" i="43" s="1"/>
  <c r="AH18" i="43"/>
  <c r="AN18" i="43" s="1"/>
  <c r="M3" i="43"/>
  <c r="Y3" i="43" s="1"/>
  <c r="M4" i="43"/>
  <c r="Y4" i="43" s="1"/>
  <c r="M5" i="43"/>
  <c r="Y5" i="43" s="1"/>
  <c r="M6" i="43"/>
  <c r="Y6" i="43" s="1"/>
  <c r="M7" i="43"/>
  <c r="Y7" i="43" s="1"/>
  <c r="M8" i="43"/>
  <c r="Y8" i="43" s="1"/>
  <c r="M9" i="43"/>
  <c r="Y9" i="43" s="1"/>
  <c r="M10" i="43"/>
  <c r="Y10" i="43" s="1"/>
  <c r="M11" i="43"/>
  <c r="Y11" i="43" s="1"/>
  <c r="M12" i="43"/>
  <c r="Y12" i="43" s="1"/>
  <c r="M13" i="43"/>
  <c r="Y13" i="43" s="1"/>
  <c r="M14" i="43"/>
  <c r="Y14" i="43" s="1"/>
  <c r="M15" i="43"/>
  <c r="Y15" i="43" s="1"/>
  <c r="M16" i="43"/>
  <c r="Y16" i="43" s="1"/>
  <c r="M17" i="43"/>
  <c r="Y17" i="43" s="1"/>
  <c r="M18" i="43"/>
  <c r="Y18" i="43" s="1"/>
  <c r="M2" i="43"/>
  <c r="Y2" i="43" s="1"/>
  <c r="L3" i="43"/>
  <c r="X3" i="43" s="1"/>
  <c r="L4" i="43"/>
  <c r="X4" i="43" s="1"/>
  <c r="L5" i="43"/>
  <c r="X5" i="43" s="1"/>
  <c r="L6" i="43"/>
  <c r="X6" i="43" s="1"/>
  <c r="L7" i="43"/>
  <c r="X7" i="43" s="1"/>
  <c r="L8" i="43"/>
  <c r="X8" i="43" s="1"/>
  <c r="L9" i="43"/>
  <c r="X9" i="43" s="1"/>
  <c r="L10" i="43"/>
  <c r="X10" i="43" s="1"/>
  <c r="L11" i="43"/>
  <c r="X11" i="43" s="1"/>
  <c r="L12" i="43"/>
  <c r="X12" i="43" s="1"/>
  <c r="L13" i="43"/>
  <c r="X13" i="43" s="1"/>
  <c r="L14" i="43"/>
  <c r="X14" i="43" s="1"/>
  <c r="L15" i="43"/>
  <c r="X15" i="43" s="1"/>
  <c r="L16" i="43"/>
  <c r="X16" i="43" s="1"/>
  <c r="L17" i="43"/>
  <c r="X17" i="43" s="1"/>
  <c r="L18" i="43"/>
  <c r="X18" i="43" s="1"/>
  <c r="L2" i="43"/>
  <c r="X2" i="43" s="1"/>
  <c r="K3" i="43"/>
  <c r="W3" i="43" s="1"/>
  <c r="K4" i="43"/>
  <c r="W4" i="43" s="1"/>
  <c r="K5" i="43"/>
  <c r="W5" i="43" s="1"/>
  <c r="K6" i="43"/>
  <c r="W6" i="43" s="1"/>
  <c r="K7" i="43"/>
  <c r="W7" i="43" s="1"/>
  <c r="K8" i="43"/>
  <c r="W8" i="43" s="1"/>
  <c r="K9" i="43"/>
  <c r="W9" i="43" s="1"/>
  <c r="K10" i="43"/>
  <c r="W10" i="43" s="1"/>
  <c r="K11" i="43"/>
  <c r="W11" i="43" s="1"/>
  <c r="K12" i="43"/>
  <c r="W12" i="43" s="1"/>
  <c r="K13" i="43"/>
  <c r="W13" i="43" s="1"/>
  <c r="K14" i="43"/>
  <c r="W14" i="43" s="1"/>
  <c r="K15" i="43"/>
  <c r="W15" i="43" s="1"/>
  <c r="K16" i="43"/>
  <c r="W16" i="43" s="1"/>
  <c r="K17" i="43"/>
  <c r="W17" i="43" s="1"/>
  <c r="K18" i="43"/>
  <c r="W18" i="43" s="1"/>
  <c r="K2" i="43"/>
  <c r="W2" i="43" s="1"/>
  <c r="J3" i="43"/>
  <c r="J4" i="43"/>
  <c r="J5" i="43"/>
  <c r="V5" i="43" s="1"/>
  <c r="J6" i="43"/>
  <c r="V6" i="43" s="1"/>
  <c r="J7" i="43"/>
  <c r="V7" i="43" s="1"/>
  <c r="J8" i="43"/>
  <c r="V8" i="43" s="1"/>
  <c r="J9" i="43"/>
  <c r="V9" i="43" s="1"/>
  <c r="J10" i="43"/>
  <c r="V10" i="43" s="1"/>
  <c r="J11" i="43"/>
  <c r="V11" i="43" s="1"/>
  <c r="J12" i="43"/>
  <c r="J13" i="43"/>
  <c r="V13" i="43" s="1"/>
  <c r="J14" i="43"/>
  <c r="V14" i="43" s="1"/>
  <c r="J15" i="43"/>
  <c r="V15" i="43" s="1"/>
  <c r="J16" i="43"/>
  <c r="V16" i="43" s="1"/>
  <c r="J17" i="43"/>
  <c r="V17" i="43" s="1"/>
  <c r="J18" i="43"/>
  <c r="J2" i="43"/>
  <c r="V2" i="43" s="1"/>
  <c r="C18" i="43"/>
  <c r="B18" i="43" s="1"/>
  <c r="C17" i="43"/>
  <c r="B17" i="43" s="1"/>
  <c r="C16" i="43"/>
  <c r="B16" i="43" s="1"/>
  <c r="C15" i="43"/>
  <c r="B15" i="43" s="1"/>
  <c r="C14" i="43"/>
  <c r="B14" i="43" s="1"/>
  <c r="C13" i="43"/>
  <c r="B13" i="43" s="1"/>
  <c r="C12" i="43"/>
  <c r="B12" i="43" s="1"/>
  <c r="C11" i="43"/>
  <c r="B11" i="43" s="1"/>
  <c r="C10" i="43"/>
  <c r="B10" i="43" s="1"/>
  <c r="C9" i="43"/>
  <c r="B9" i="43" s="1"/>
  <c r="C8" i="43"/>
  <c r="B8" i="43" s="1"/>
  <c r="C7" i="43"/>
  <c r="B7" i="43" s="1"/>
  <c r="C6" i="43"/>
  <c r="B6" i="43" s="1"/>
  <c r="C5" i="43"/>
  <c r="B5" i="43" s="1"/>
  <c r="C4" i="43"/>
  <c r="B4" i="43" s="1"/>
  <c r="C3" i="43"/>
  <c r="B3" i="43" s="1"/>
  <c r="C2" i="43"/>
  <c r="B2" i="43" s="1"/>
  <c r="AF8" i="43" l="1"/>
  <c r="V2" i="48"/>
  <c r="F3" i="49"/>
  <c r="H12" i="43"/>
  <c r="H4" i="43"/>
  <c r="H18" i="43"/>
  <c r="AF15" i="43"/>
  <c r="AW18" i="43"/>
  <c r="I17" i="43"/>
  <c r="AW4" i="43"/>
  <c r="AW10" i="43"/>
  <c r="I16" i="43"/>
  <c r="V18" i="43"/>
  <c r="T18" i="43" s="1"/>
  <c r="AB18" i="43" s="1"/>
  <c r="AF7" i="43"/>
  <c r="I9" i="43"/>
  <c r="AG16" i="43"/>
  <c r="AN16" i="43"/>
  <c r="AT16" i="43" s="1"/>
  <c r="AW11" i="43"/>
  <c r="H9" i="43"/>
  <c r="AW5" i="43"/>
  <c r="I8" i="43"/>
  <c r="AW17" i="43"/>
  <c r="AW9" i="43"/>
  <c r="AG15" i="43"/>
  <c r="I2" i="43"/>
  <c r="I11" i="43"/>
  <c r="I3" i="43"/>
  <c r="V3" i="43"/>
  <c r="U3" i="43" s="1"/>
  <c r="AW16" i="43"/>
  <c r="AW8" i="43"/>
  <c r="AG8" i="43"/>
  <c r="AW13" i="43"/>
  <c r="AW12" i="43"/>
  <c r="I18" i="43"/>
  <c r="I10" i="43"/>
  <c r="H17" i="43"/>
  <c r="AW15" i="43"/>
  <c r="AW7" i="43"/>
  <c r="AG7" i="43"/>
  <c r="U2" i="43"/>
  <c r="H10" i="43"/>
  <c r="AW14" i="43"/>
  <c r="AW6" i="43"/>
  <c r="AL8" i="43"/>
  <c r="AL13" i="43"/>
  <c r="AM13" i="43"/>
  <c r="AT13" i="43"/>
  <c r="AS13" i="43" s="1"/>
  <c r="AL5" i="43"/>
  <c r="AM5" i="43"/>
  <c r="AT5" i="43"/>
  <c r="AS5" i="43" s="1"/>
  <c r="AT12" i="43"/>
  <c r="AL12" i="43"/>
  <c r="AM12" i="43"/>
  <c r="AT4" i="43"/>
  <c r="AS4" i="43" s="1"/>
  <c r="AL4" i="43"/>
  <c r="AM4" i="43"/>
  <c r="AL6" i="43"/>
  <c r="AM6" i="43"/>
  <c r="B8" i="38" s="1"/>
  <c r="AT6" i="43"/>
  <c r="AR6" i="43" s="1"/>
  <c r="AT11" i="43"/>
  <c r="AS11" i="43" s="1"/>
  <c r="AL11" i="43"/>
  <c r="AM11" i="43"/>
  <c r="AP2" i="43"/>
  <c r="AV3" i="43"/>
  <c r="T14" i="43"/>
  <c r="AC14" i="43" s="1"/>
  <c r="AM18" i="43"/>
  <c r="B20" i="38" s="1"/>
  <c r="AL18" i="43"/>
  <c r="AT18" i="43"/>
  <c r="AS18" i="43" s="1"/>
  <c r="AL10" i="43"/>
  <c r="AT10" i="43"/>
  <c r="AS10" i="43" s="1"/>
  <c r="AM10" i="43"/>
  <c r="AL7" i="43"/>
  <c r="U13" i="43"/>
  <c r="T6" i="43"/>
  <c r="AE6" i="43" s="1"/>
  <c r="AL15" i="43"/>
  <c r="AG6" i="43"/>
  <c r="H2" i="43"/>
  <c r="H11" i="43"/>
  <c r="H3" i="43"/>
  <c r="V12" i="43"/>
  <c r="U12" i="43" s="1"/>
  <c r="V4" i="43"/>
  <c r="U4" i="43" s="1"/>
  <c r="AF17" i="43"/>
  <c r="AF9" i="43"/>
  <c r="AN17" i="43"/>
  <c r="AN9" i="43"/>
  <c r="U5" i="43"/>
  <c r="AQ2" i="43"/>
  <c r="I15" i="43"/>
  <c r="I7" i="43"/>
  <c r="H16" i="43"/>
  <c r="H8" i="43"/>
  <c r="AG13" i="43"/>
  <c r="AG5" i="43"/>
  <c r="AF14" i="43"/>
  <c r="AF6" i="43"/>
  <c r="AN14" i="43"/>
  <c r="AT15" i="43"/>
  <c r="AS15" i="43" s="1"/>
  <c r="AT7" i="43"/>
  <c r="AS7" i="43" s="1"/>
  <c r="AT8" i="43"/>
  <c r="I14" i="43"/>
  <c r="I6" i="43"/>
  <c r="H15" i="43"/>
  <c r="H7" i="43"/>
  <c r="AH2" i="43"/>
  <c r="AI2" i="43"/>
  <c r="AJ2" i="43"/>
  <c r="AK2" i="43"/>
  <c r="AG12" i="43"/>
  <c r="AG4" i="43"/>
  <c r="AF13" i="43"/>
  <c r="AF5" i="43"/>
  <c r="AM8" i="43"/>
  <c r="I13" i="43"/>
  <c r="I5" i="43"/>
  <c r="H14" i="43"/>
  <c r="H6" i="43"/>
  <c r="AG11" i="43"/>
  <c r="AG3" i="43"/>
  <c r="AF12" i="43"/>
  <c r="AF4" i="43"/>
  <c r="AM15" i="43"/>
  <c r="B17" i="38" s="1"/>
  <c r="AM7" i="43"/>
  <c r="I12" i="43"/>
  <c r="I4" i="43"/>
  <c r="H13" i="43"/>
  <c r="H5" i="43"/>
  <c r="AG18" i="43"/>
  <c r="AG10" i="43"/>
  <c r="AF11" i="43"/>
  <c r="AF3" i="43"/>
  <c r="AN3" i="43"/>
  <c r="AF18" i="43"/>
  <c r="AF10" i="43"/>
  <c r="AO3" i="43"/>
  <c r="AW3" i="43"/>
  <c r="T16" i="43"/>
  <c r="AE16" i="43" s="1"/>
  <c r="T8" i="43"/>
  <c r="AE8" i="43" s="1"/>
  <c r="T5" i="43"/>
  <c r="AE5" i="43" s="1"/>
  <c r="T11" i="43"/>
  <c r="AE11" i="43" s="1"/>
  <c r="U6" i="43"/>
  <c r="U16" i="43"/>
  <c r="U14" i="43"/>
  <c r="T13" i="43"/>
  <c r="AE13" i="43" s="1"/>
  <c r="U11" i="43"/>
  <c r="U8" i="43"/>
  <c r="U10" i="43"/>
  <c r="T10" i="43"/>
  <c r="AB10" i="43" s="1"/>
  <c r="U17" i="43"/>
  <c r="U9" i="43"/>
  <c r="T17" i="43"/>
  <c r="AB17" i="43" s="1"/>
  <c r="T9" i="43"/>
  <c r="AB9" i="43" s="1"/>
  <c r="U15" i="43"/>
  <c r="U7" i="43"/>
  <c r="T15" i="43"/>
  <c r="T7" i="43"/>
  <c r="T2" i="43"/>
  <c r="AB2" i="43" s="1"/>
  <c r="AR12" i="43" l="1"/>
  <c r="W2" i="48"/>
  <c r="K3" i="49"/>
  <c r="T3" i="43"/>
  <c r="AE3" i="43" s="1"/>
  <c r="U18" i="43"/>
  <c r="AA18" i="43" s="1"/>
  <c r="AA14" i="43"/>
  <c r="AM16" i="43"/>
  <c r="B18" i="38" s="1"/>
  <c r="D18" i="38" s="1"/>
  <c r="AL16" i="43"/>
  <c r="AC8" i="43"/>
  <c r="AB6" i="43"/>
  <c r="AC16" i="43"/>
  <c r="AR4" i="43"/>
  <c r="AR15" i="43"/>
  <c r="AR8" i="43"/>
  <c r="AR16" i="43"/>
  <c r="AA5" i="43"/>
  <c r="T12" i="43"/>
  <c r="AC12" i="43" s="1"/>
  <c r="AR5" i="43"/>
  <c r="AB14" i="43"/>
  <c r="AR18" i="43"/>
  <c r="AE14" i="43"/>
  <c r="AD14" i="43"/>
  <c r="AS12" i="43"/>
  <c r="G2" i="46"/>
  <c r="C4" i="38"/>
  <c r="AC5" i="43"/>
  <c r="AR11" i="43"/>
  <c r="AD5" i="43"/>
  <c r="B7" i="38"/>
  <c r="D7" i="38" s="1"/>
  <c r="B6" i="38"/>
  <c r="D6" i="38" s="1"/>
  <c r="B13" i="38"/>
  <c r="D13" i="38" s="1"/>
  <c r="B15" i="38"/>
  <c r="D15" i="38" s="1"/>
  <c r="B12" i="38"/>
  <c r="D12" i="38" s="1"/>
  <c r="B9" i="38"/>
  <c r="D9" i="38" s="1"/>
  <c r="AR13" i="43"/>
  <c r="B10" i="38"/>
  <c r="D10" i="38" s="1"/>
  <c r="B14" i="38"/>
  <c r="D14" i="38" s="1"/>
  <c r="AV2" i="43"/>
  <c r="F2" i="46"/>
  <c r="AS16" i="43"/>
  <c r="AS6" i="43"/>
  <c r="AB5" i="43"/>
  <c r="D17" i="38"/>
  <c r="T4" i="43"/>
  <c r="AC4" i="43" s="1"/>
  <c r="AD6" i="43"/>
  <c r="AC6" i="43"/>
  <c r="AA6" i="43"/>
  <c r="AW2" i="43"/>
  <c r="D20" i="38"/>
  <c r="D8" i="38"/>
  <c r="AN2" i="43"/>
  <c r="D2" i="46" s="1"/>
  <c r="AT3" i="43"/>
  <c r="AM3" i="43"/>
  <c r="AL3" i="43"/>
  <c r="AL17" i="43"/>
  <c r="AM17" i="43"/>
  <c r="AT17" i="43"/>
  <c r="AS8" i="43"/>
  <c r="AF2" i="43"/>
  <c r="AG2" i="43"/>
  <c r="AL14" i="43"/>
  <c r="AM14" i="43"/>
  <c r="AT14" i="43"/>
  <c r="AR10" i="43"/>
  <c r="AR7" i="43"/>
  <c r="AO2" i="43"/>
  <c r="AU3" i="43"/>
  <c r="AC11" i="43"/>
  <c r="AB11" i="43"/>
  <c r="AT9" i="43"/>
  <c r="AL9" i="43"/>
  <c r="AM9" i="43"/>
  <c r="AB8" i="43"/>
  <c r="AA16" i="43"/>
  <c r="AB16" i="43"/>
  <c r="AD8" i="43"/>
  <c r="AA8" i="43"/>
  <c r="AD16" i="43"/>
  <c r="AD11" i="43"/>
  <c r="AA11" i="43"/>
  <c r="AD13" i="43"/>
  <c r="AA10" i="43"/>
  <c r="AA7" i="43"/>
  <c r="AC13" i="43"/>
  <c r="AB13" i="43"/>
  <c r="AA13" i="43"/>
  <c r="AE7" i="43"/>
  <c r="AD7" i="43"/>
  <c r="AC7" i="43"/>
  <c r="AE15" i="43"/>
  <c r="AD15" i="43"/>
  <c r="AC15" i="43"/>
  <c r="AA15" i="43"/>
  <c r="AE17" i="43"/>
  <c r="AD17" i="43"/>
  <c r="AC17" i="43"/>
  <c r="AA9" i="43"/>
  <c r="AE10" i="43"/>
  <c r="AD10" i="43"/>
  <c r="AC10" i="43"/>
  <c r="AB15" i="43"/>
  <c r="AE9" i="43"/>
  <c r="AD9" i="43"/>
  <c r="AC9" i="43"/>
  <c r="AA17" i="43"/>
  <c r="AE18" i="43"/>
  <c r="AD18" i="43"/>
  <c r="AC18" i="43"/>
  <c r="AB7" i="43"/>
  <c r="AE2" i="43"/>
  <c r="AD2" i="43"/>
  <c r="AC2" i="43"/>
  <c r="AA2" i="43"/>
  <c r="AD12" i="43" l="1"/>
  <c r="AD3" i="43"/>
  <c r="L3" i="49"/>
  <c r="M3" i="49" s="1"/>
  <c r="AB3" i="43"/>
  <c r="AC3" i="43"/>
  <c r="AA3" i="43"/>
  <c r="AE12" i="43"/>
  <c r="AE4" i="43"/>
  <c r="AA12" i="43"/>
  <c r="AB12" i="43"/>
  <c r="AB4" i="43"/>
  <c r="AA4" i="43"/>
  <c r="AD4" i="43"/>
  <c r="AU2" i="43"/>
  <c r="E2" i="46"/>
  <c r="B2" i="46" s="1"/>
  <c r="B5" i="38"/>
  <c r="D5" i="38" s="1"/>
  <c r="L2" i="46"/>
  <c r="J2" i="46"/>
  <c r="B11" i="38"/>
  <c r="D11" i="38" s="1"/>
  <c r="B19" i="38"/>
  <c r="D19" i="38" s="1"/>
  <c r="B16" i="38"/>
  <c r="D16" i="38" s="1"/>
  <c r="M3" i="40"/>
  <c r="M2" i="46"/>
  <c r="J3" i="40" s="1"/>
  <c r="AS17" i="43"/>
  <c r="AR17" i="43"/>
  <c r="AS14" i="43"/>
  <c r="AR14" i="43"/>
  <c r="AS9" i="43"/>
  <c r="AR9" i="43"/>
  <c r="AS3" i="43"/>
  <c r="AR3" i="43"/>
  <c r="AM2" i="43"/>
  <c r="AT2" i="43"/>
  <c r="AL2" i="43"/>
  <c r="P3" i="40" l="1"/>
  <c r="T3" i="40" s="1"/>
  <c r="C2" i="46"/>
  <c r="L3" i="40" s="1"/>
  <c r="N3" i="40" s="1"/>
  <c r="J3" i="46"/>
  <c r="B4" i="38"/>
  <c r="D4" i="38" s="1"/>
  <c r="L3" i="46"/>
  <c r="K2" i="46"/>
  <c r="I2" i="46" s="1"/>
  <c r="I3" i="40" s="1"/>
  <c r="M4" i="40"/>
  <c r="M3" i="46"/>
  <c r="AR2" i="43"/>
  <c r="AS2" i="43"/>
  <c r="K3" i="40" l="1"/>
  <c r="O3" i="40"/>
  <c r="B4" i="46"/>
  <c r="K3" i="46"/>
  <c r="I3" i="46" s="1"/>
  <c r="I4" i="40" s="1"/>
  <c r="H2" i="46"/>
  <c r="J4" i="40"/>
  <c r="C3" i="46"/>
  <c r="L4" i="40" s="1"/>
  <c r="L4" i="46"/>
  <c r="B3" i="46"/>
  <c r="M5" i="40"/>
  <c r="M4" i="46"/>
  <c r="J4" i="46"/>
  <c r="G5" i="38"/>
  <c r="G6" i="38"/>
  <c r="G7" i="38"/>
  <c r="G8" i="38"/>
  <c r="G9" i="38"/>
  <c r="G10" i="38"/>
  <c r="G11" i="38"/>
  <c r="G12" i="38"/>
  <c r="G13" i="38"/>
  <c r="G14" i="38"/>
  <c r="G15" i="38"/>
  <c r="G16" i="38"/>
  <c r="G17" i="38"/>
  <c r="G18" i="38"/>
  <c r="G19" i="38"/>
  <c r="G20" i="38"/>
  <c r="G4" i="38"/>
  <c r="F5" i="38"/>
  <c r="I5" i="38" s="1"/>
  <c r="R5" i="38" s="1"/>
  <c r="F6" i="38"/>
  <c r="I6" i="38" s="1"/>
  <c r="R6" i="38" s="1"/>
  <c r="F7" i="38"/>
  <c r="I7" i="38" s="1"/>
  <c r="R7" i="38" s="1"/>
  <c r="F8" i="38"/>
  <c r="I8" i="38" s="1"/>
  <c r="R8" i="38" s="1"/>
  <c r="F9" i="38"/>
  <c r="I9" i="38" s="1"/>
  <c r="R9" i="38" s="1"/>
  <c r="F10" i="38"/>
  <c r="I10" i="38" s="1"/>
  <c r="R10" i="38" s="1"/>
  <c r="F11" i="38"/>
  <c r="I11" i="38" s="1"/>
  <c r="R11" i="38" s="1"/>
  <c r="F12" i="38"/>
  <c r="I12" i="38" s="1"/>
  <c r="R12" i="38" s="1"/>
  <c r="F13" i="38"/>
  <c r="I13" i="38" s="1"/>
  <c r="R13" i="38" s="1"/>
  <c r="F14" i="38"/>
  <c r="I14" i="38" s="1"/>
  <c r="R14" i="38" s="1"/>
  <c r="F15" i="38"/>
  <c r="I15" i="38" s="1"/>
  <c r="R15" i="38" s="1"/>
  <c r="F16" i="38"/>
  <c r="I16" i="38" s="1"/>
  <c r="R16" i="38" s="1"/>
  <c r="F17" i="38"/>
  <c r="I17" i="38" s="1"/>
  <c r="R17" i="38" s="1"/>
  <c r="F18" i="38"/>
  <c r="I18" i="38" s="1"/>
  <c r="R18" i="38" s="1"/>
  <c r="F19" i="38"/>
  <c r="I19" i="38" s="1"/>
  <c r="R19" i="38" s="1"/>
  <c r="F20" i="38"/>
  <c r="I20" i="38" s="1"/>
  <c r="R20" i="38" s="1"/>
  <c r="F4" i="38"/>
  <c r="I4" i="38" s="1"/>
  <c r="R4" i="38" s="1"/>
  <c r="E5" i="38"/>
  <c r="H5" i="38" s="1"/>
  <c r="Q5" i="38" s="1"/>
  <c r="E6" i="38"/>
  <c r="H6" i="38" s="1"/>
  <c r="Q6" i="38" s="1"/>
  <c r="E7" i="38"/>
  <c r="H7" i="38" s="1"/>
  <c r="Q7" i="38" s="1"/>
  <c r="E8" i="38"/>
  <c r="H8" i="38" s="1"/>
  <c r="Q8" i="38" s="1"/>
  <c r="E9" i="38"/>
  <c r="H9" i="38" s="1"/>
  <c r="Q9" i="38" s="1"/>
  <c r="E10" i="38"/>
  <c r="H10" i="38" s="1"/>
  <c r="Q10" i="38" s="1"/>
  <c r="E11" i="38"/>
  <c r="H11" i="38" s="1"/>
  <c r="Q11" i="38" s="1"/>
  <c r="E12" i="38"/>
  <c r="H12" i="38" s="1"/>
  <c r="Q12" i="38" s="1"/>
  <c r="E13" i="38"/>
  <c r="H13" i="38" s="1"/>
  <c r="Q13" i="38" s="1"/>
  <c r="E14" i="38"/>
  <c r="H14" i="38" s="1"/>
  <c r="Q14" i="38" s="1"/>
  <c r="E15" i="38"/>
  <c r="H15" i="38" s="1"/>
  <c r="Q15" i="38" s="1"/>
  <c r="E16" i="38"/>
  <c r="H16" i="38" s="1"/>
  <c r="Q16" i="38" s="1"/>
  <c r="E17" i="38"/>
  <c r="H17" i="38" s="1"/>
  <c r="Q17" i="38" s="1"/>
  <c r="E18" i="38"/>
  <c r="H18" i="38" s="1"/>
  <c r="Q18" i="38" s="1"/>
  <c r="E19" i="38"/>
  <c r="H19" i="38" s="1"/>
  <c r="Q19" i="38" s="1"/>
  <c r="E20" i="38"/>
  <c r="H20" i="38" s="1"/>
  <c r="Q20" i="38" s="1"/>
  <c r="E4" i="38"/>
  <c r="H4" i="38" s="1"/>
  <c r="Q4" i="38" s="1"/>
  <c r="C4" i="46" l="1"/>
  <c r="L5" i="40" s="1"/>
  <c r="N5" i="40" s="1"/>
  <c r="H3" i="46"/>
  <c r="J5" i="40"/>
  <c r="J5" i="46"/>
  <c r="M6" i="40"/>
  <c r="M5" i="46"/>
  <c r="L5" i="46"/>
  <c r="B5" i="46"/>
  <c r="K4" i="46"/>
  <c r="H4" i="46" s="1"/>
  <c r="P4" i="40"/>
  <c r="S3" i="40"/>
  <c r="Q3" i="40"/>
  <c r="K4" i="40"/>
  <c r="O4" i="40"/>
  <c r="N4" i="40"/>
  <c r="J18" i="38"/>
  <c r="J14" i="38"/>
  <c r="J10" i="38"/>
  <c r="J6" i="38"/>
  <c r="J20" i="38"/>
  <c r="J16" i="38"/>
  <c r="J12" i="38"/>
  <c r="J8" i="38"/>
  <c r="J4" i="38"/>
  <c r="J17" i="38"/>
  <c r="J13" i="38"/>
  <c r="J9" i="38"/>
  <c r="J5" i="38"/>
  <c r="J19" i="38"/>
  <c r="J15" i="38"/>
  <c r="J11" i="38"/>
  <c r="J7" i="38"/>
  <c r="C5" i="46" l="1"/>
  <c r="L6" i="40" s="1"/>
  <c r="N6" i="40" s="1"/>
  <c r="I4" i="46"/>
  <c r="I5" i="40" s="1"/>
  <c r="O5" i="40" s="1"/>
  <c r="S5" i="40" s="1"/>
  <c r="U3" i="40"/>
  <c r="T4" i="40"/>
  <c r="S4" i="40"/>
  <c r="Q4" i="40"/>
  <c r="J6" i="40"/>
  <c r="J6" i="46"/>
  <c r="C6" i="46"/>
  <c r="L7" i="40" s="1"/>
  <c r="K5" i="46"/>
  <c r="H5" i="46" s="1"/>
  <c r="M7" i="40"/>
  <c r="M6" i="46"/>
  <c r="J7" i="40" s="1"/>
  <c r="P5" i="40"/>
  <c r="T5" i="40" s="1"/>
  <c r="L6" i="46"/>
  <c r="S4" i="38"/>
  <c r="S12" i="38"/>
  <c r="S6" i="38"/>
  <c r="S15" i="38"/>
  <c r="S8" i="38"/>
  <c r="S18" i="38"/>
  <c r="S19" i="38"/>
  <c r="S13" i="38"/>
  <c r="S20" i="38"/>
  <c r="S14" i="38"/>
  <c r="S11" i="38"/>
  <c r="S5" i="38"/>
  <c r="S9" i="38"/>
  <c r="S7" i="38"/>
  <c r="S17" i="38"/>
  <c r="S16" i="38"/>
  <c r="S10" i="38"/>
  <c r="B20" i="35"/>
  <c r="B19" i="35"/>
  <c r="B18" i="35"/>
  <c r="B17" i="35"/>
  <c r="B16" i="35"/>
  <c r="B15" i="35"/>
  <c r="B14" i="35"/>
  <c r="B13" i="35"/>
  <c r="B12" i="35"/>
  <c r="B11" i="35"/>
  <c r="B10" i="35"/>
  <c r="B9" i="35"/>
  <c r="B8" i="35"/>
  <c r="B7" i="35"/>
  <c r="B6" i="35"/>
  <c r="B5" i="35"/>
  <c r="B4" i="35"/>
  <c r="K5" i="40" l="1"/>
  <c r="P6" i="40"/>
  <c r="K6" i="46"/>
  <c r="H6" i="46" s="1"/>
  <c r="C7" i="46"/>
  <c r="L8" i="40" s="1"/>
  <c r="P7" i="40"/>
  <c r="T7" i="40" s="1"/>
  <c r="L7" i="46"/>
  <c r="M8" i="40"/>
  <c r="M7" i="46"/>
  <c r="U4" i="40"/>
  <c r="B6" i="46"/>
  <c r="I5" i="46"/>
  <c r="I6" i="40" s="1"/>
  <c r="Q5" i="40"/>
  <c r="N7" i="40"/>
  <c r="J7" i="46"/>
  <c r="U5" i="40"/>
  <c r="AX6" i="43"/>
  <c r="BA6" i="43" s="1"/>
  <c r="AX5" i="43"/>
  <c r="AX4" i="43"/>
  <c r="AX12" i="43"/>
  <c r="AX7" i="43"/>
  <c r="AX15" i="43"/>
  <c r="AX13" i="43"/>
  <c r="AX16" i="43"/>
  <c r="AX8" i="43"/>
  <c r="AX17" i="43"/>
  <c r="AX14" i="43"/>
  <c r="AX3" i="43"/>
  <c r="AX10" i="43"/>
  <c r="AX18" i="43"/>
  <c r="AX9" i="43"/>
  <c r="AX11" i="43"/>
  <c r="B7" i="46" l="1"/>
  <c r="I6" i="46"/>
  <c r="I7" i="40" s="1"/>
  <c r="O7" i="40" s="1"/>
  <c r="Q7" i="40" s="1"/>
  <c r="C5" i="35"/>
  <c r="BD3" i="43" s="1"/>
  <c r="L8" i="46"/>
  <c r="C8" i="46"/>
  <c r="L9" i="40" s="1"/>
  <c r="K7" i="46"/>
  <c r="I7" i="46" s="1"/>
  <c r="I8" i="40" s="1"/>
  <c r="J8" i="40"/>
  <c r="O6" i="40"/>
  <c r="C4" i="35"/>
  <c r="M9" i="40"/>
  <c r="M8" i="46"/>
  <c r="J8" i="46"/>
  <c r="N8" i="40"/>
  <c r="T6" i="40"/>
  <c r="K6" i="40"/>
  <c r="BB6" i="43"/>
  <c r="AZ6" i="43"/>
  <c r="BC6" i="43"/>
  <c r="BC14" i="43"/>
  <c r="BB14" i="43"/>
  <c r="BA14" i="43"/>
  <c r="AZ14" i="43"/>
  <c r="BC13" i="43"/>
  <c r="BB13" i="43"/>
  <c r="BA13" i="43"/>
  <c r="AZ13" i="43"/>
  <c r="BC10" i="43"/>
  <c r="BB10" i="43"/>
  <c r="BA10" i="43"/>
  <c r="AZ10" i="43"/>
  <c r="BC18" i="43"/>
  <c r="BB18" i="43"/>
  <c r="BA18" i="43"/>
  <c r="AZ18" i="43"/>
  <c r="BC11" i="43"/>
  <c r="BB11" i="43"/>
  <c r="BA11" i="43"/>
  <c r="AZ11" i="43"/>
  <c r="BC8" i="43"/>
  <c r="BB8" i="43"/>
  <c r="BA8" i="43"/>
  <c r="AZ8" i="43"/>
  <c r="BC7" i="43"/>
  <c r="BA7" i="43"/>
  <c r="BB7" i="43"/>
  <c r="AZ7" i="43"/>
  <c r="BC4" i="43"/>
  <c r="BB4" i="43"/>
  <c r="BA4" i="43"/>
  <c r="AZ4" i="43"/>
  <c r="BC17" i="43"/>
  <c r="BB17" i="43"/>
  <c r="BA17" i="43"/>
  <c r="AZ17" i="43"/>
  <c r="BC3" i="43"/>
  <c r="BB3" i="43"/>
  <c r="BA3" i="43"/>
  <c r="AZ3" i="43"/>
  <c r="AZ15" i="43"/>
  <c r="BC15" i="43"/>
  <c r="BB15" i="43"/>
  <c r="BA15" i="43"/>
  <c r="BC16" i="43"/>
  <c r="BB16" i="43"/>
  <c r="BA16" i="43"/>
  <c r="AZ16" i="43"/>
  <c r="BC5" i="43"/>
  <c r="BB5" i="43"/>
  <c r="BA5" i="43"/>
  <c r="AZ5" i="43"/>
  <c r="BC12" i="43"/>
  <c r="BB12" i="43"/>
  <c r="BA12" i="43"/>
  <c r="AZ12" i="43"/>
  <c r="BC9" i="43"/>
  <c r="BB9" i="43"/>
  <c r="BA9" i="43"/>
  <c r="AZ9" i="43"/>
  <c r="C7" i="35"/>
  <c r="D5" i="35"/>
  <c r="C12" i="35"/>
  <c r="C16" i="35"/>
  <c r="C8" i="35"/>
  <c r="C17" i="35"/>
  <c r="C14" i="35"/>
  <c r="C13" i="35"/>
  <c r="C19" i="35"/>
  <c r="D4" i="35"/>
  <c r="N3" i="46" s="1"/>
  <c r="C10" i="35"/>
  <c r="C9" i="35"/>
  <c r="C15" i="35"/>
  <c r="C18" i="35"/>
  <c r="C6" i="35"/>
  <c r="C20" i="35"/>
  <c r="C11" i="35"/>
  <c r="S7" i="40" l="1"/>
  <c r="U7" i="40" s="1"/>
  <c r="K7" i="40"/>
  <c r="H7" i="46"/>
  <c r="N9" i="40"/>
  <c r="J9" i="40"/>
  <c r="P9" i="40" s="1"/>
  <c r="T9" i="40" s="1"/>
  <c r="L9" i="46"/>
  <c r="K8" i="46"/>
  <c r="B9" i="46"/>
  <c r="J9" i="46"/>
  <c r="K8" i="40"/>
  <c r="O8" i="40"/>
  <c r="B8" i="46"/>
  <c r="P8" i="40"/>
  <c r="R3" i="46"/>
  <c r="X3" i="46" s="1"/>
  <c r="E4" i="47" s="1"/>
  <c r="J4" i="47" s="1"/>
  <c r="O4" i="47" s="1"/>
  <c r="S3" i="46"/>
  <c r="Q3" i="46"/>
  <c r="W3" i="46" s="1"/>
  <c r="D4" i="47" s="1"/>
  <c r="I4" i="47" s="1"/>
  <c r="N4" i="47" s="1"/>
  <c r="U4" i="47" s="1"/>
  <c r="P3" i="46"/>
  <c r="E5" i="35"/>
  <c r="M10" i="40"/>
  <c r="M9" i="46"/>
  <c r="S6" i="40"/>
  <c r="Q6" i="40"/>
  <c r="AY6" i="43"/>
  <c r="BD13" i="43"/>
  <c r="BI13" i="43" s="1"/>
  <c r="L15" i="38" s="1"/>
  <c r="U15" i="38" s="1"/>
  <c r="BD17" i="43"/>
  <c r="BI17" i="43" s="1"/>
  <c r="L19" i="38" s="1"/>
  <c r="U19" i="38" s="1"/>
  <c r="AY10" i="43"/>
  <c r="AY14" i="43"/>
  <c r="AY17" i="43"/>
  <c r="AY7" i="43"/>
  <c r="AY11" i="43"/>
  <c r="AY12" i="43"/>
  <c r="BD9" i="43"/>
  <c r="BF9" i="43" s="1"/>
  <c r="BD5" i="43"/>
  <c r="BG5" i="43" s="1"/>
  <c r="BM5" i="43" s="1"/>
  <c r="R7" i="41" s="1"/>
  <c r="AY9" i="43"/>
  <c r="AY5" i="43"/>
  <c r="BC2" i="43"/>
  <c r="BD7" i="43"/>
  <c r="BD11" i="43"/>
  <c r="BD14" i="43"/>
  <c r="BB2" i="43"/>
  <c r="AY13" i="43"/>
  <c r="BD8" i="43"/>
  <c r="BD12" i="43"/>
  <c r="BD10" i="43"/>
  <c r="BI3" i="43"/>
  <c r="L5" i="38" s="1"/>
  <c r="U5" i="38" s="1"/>
  <c r="BH3" i="43"/>
  <c r="BG3" i="43"/>
  <c r="BF3" i="43"/>
  <c r="BD4" i="43"/>
  <c r="BD15" i="43"/>
  <c r="AY15" i="43"/>
  <c r="BD16" i="43"/>
  <c r="BD6" i="43"/>
  <c r="AY16" i="43"/>
  <c r="AZ2" i="43"/>
  <c r="AY3" i="43"/>
  <c r="AY4" i="43"/>
  <c r="AY8" i="43"/>
  <c r="AY18" i="43"/>
  <c r="BD18" i="43"/>
  <c r="BA2" i="43"/>
  <c r="D20" i="35"/>
  <c r="D9" i="35"/>
  <c r="D13" i="35"/>
  <c r="D16" i="35"/>
  <c r="D6" i="35"/>
  <c r="D10" i="35"/>
  <c r="D14" i="35"/>
  <c r="D12" i="35"/>
  <c r="D18" i="35"/>
  <c r="E4" i="35"/>
  <c r="N4" i="46" s="1"/>
  <c r="D17" i="35"/>
  <c r="D11" i="35"/>
  <c r="D15" i="35"/>
  <c r="D19" i="35"/>
  <c r="D8" i="35"/>
  <c r="D7" i="35"/>
  <c r="C9" i="46" l="1"/>
  <c r="L10" i="40" s="1"/>
  <c r="N10" i="40" s="1"/>
  <c r="J10" i="46"/>
  <c r="J10" i="40"/>
  <c r="V4" i="47"/>
  <c r="Z4" i="47" s="1"/>
  <c r="I8" i="46"/>
  <c r="I9" i="40" s="1"/>
  <c r="E7" i="35"/>
  <c r="E11" i="35"/>
  <c r="E12" i="35"/>
  <c r="E16" i="35"/>
  <c r="H8" i="46"/>
  <c r="L10" i="46"/>
  <c r="E8" i="35"/>
  <c r="E17" i="35"/>
  <c r="E14" i="35"/>
  <c r="E13" i="35"/>
  <c r="BI9" i="43"/>
  <c r="L11" i="38" s="1"/>
  <c r="U11" i="38" s="1"/>
  <c r="BH17" i="43"/>
  <c r="BN17" i="43" s="1"/>
  <c r="S19" i="41" s="1"/>
  <c r="T8" i="40"/>
  <c r="R4" i="46"/>
  <c r="X4" i="46" s="1"/>
  <c r="E5" i="47" s="1"/>
  <c r="J5" i="47" s="1"/>
  <c r="O5" i="47" s="1"/>
  <c r="P4" i="46"/>
  <c r="Q4" i="46"/>
  <c r="W4" i="46" s="1"/>
  <c r="D5" i="47" s="1"/>
  <c r="I5" i="47" s="1"/>
  <c r="N5" i="47" s="1"/>
  <c r="S4" i="46"/>
  <c r="U6" i="40"/>
  <c r="F5" i="35"/>
  <c r="E15" i="35"/>
  <c r="E18" i="35"/>
  <c r="E20" i="35"/>
  <c r="C4" i="40"/>
  <c r="Y3" i="46"/>
  <c r="BG9" i="43"/>
  <c r="BM9" i="43" s="1"/>
  <c r="R11" i="41" s="1"/>
  <c r="E19" i="35"/>
  <c r="E10" i="35"/>
  <c r="E9" i="35"/>
  <c r="O3" i="46"/>
  <c r="B4" i="40" s="1"/>
  <c r="F4" i="40" s="1"/>
  <c r="V3" i="46"/>
  <c r="S8" i="40"/>
  <c r="Q8" i="40"/>
  <c r="C10" i="46"/>
  <c r="L11" i="40" s="1"/>
  <c r="K9" i="46"/>
  <c r="E6" i="35"/>
  <c r="M11" i="40"/>
  <c r="M10" i="46"/>
  <c r="J11" i="40" s="1"/>
  <c r="Y4" i="47"/>
  <c r="AC4" i="47" s="1"/>
  <c r="BH9" i="43"/>
  <c r="BN9" i="43" s="1"/>
  <c r="S11" i="41" s="1"/>
  <c r="BG13" i="43"/>
  <c r="BM13" i="43" s="1"/>
  <c r="R15" i="41" s="1"/>
  <c r="BH5" i="43"/>
  <c r="BN5" i="43" s="1"/>
  <c r="S7" i="41" s="1"/>
  <c r="BI5" i="43"/>
  <c r="BF13" i="43"/>
  <c r="BL13" i="43" s="1"/>
  <c r="BF5" i="43"/>
  <c r="BL5" i="43" s="1"/>
  <c r="BH13" i="43"/>
  <c r="BN13" i="43" s="1"/>
  <c r="S15" i="41" s="1"/>
  <c r="BF17" i="43"/>
  <c r="BG17" i="43"/>
  <c r="BM17" i="43" s="1"/>
  <c r="R19" i="41" s="1"/>
  <c r="X5" i="38"/>
  <c r="O5" i="38"/>
  <c r="BO17" i="43"/>
  <c r="BO13" i="43"/>
  <c r="BO3" i="43"/>
  <c r="BN3" i="43"/>
  <c r="S5" i="41" s="1"/>
  <c r="BI4" i="43"/>
  <c r="L6" i="38" s="1"/>
  <c r="U6" i="38" s="1"/>
  <c r="BH4" i="43"/>
  <c r="BN4" i="43" s="1"/>
  <c r="S6" i="41" s="1"/>
  <c r="BG4" i="43"/>
  <c r="BM4" i="43" s="1"/>
  <c r="R6" i="41" s="1"/>
  <c r="BF4" i="43"/>
  <c r="BI12" i="43"/>
  <c r="L14" i="38" s="1"/>
  <c r="U14" i="38" s="1"/>
  <c r="BH12" i="43"/>
  <c r="BN12" i="43" s="1"/>
  <c r="S14" i="41" s="1"/>
  <c r="BG12" i="43"/>
  <c r="BM12" i="43" s="1"/>
  <c r="R14" i="41" s="1"/>
  <c r="BF12" i="43"/>
  <c r="BI11" i="43"/>
  <c r="L13" i="38" s="1"/>
  <c r="U13" i="38" s="1"/>
  <c r="BH11" i="43"/>
  <c r="BN11" i="43" s="1"/>
  <c r="S13" i="41" s="1"/>
  <c r="BG11" i="43"/>
  <c r="BM11" i="43" s="1"/>
  <c r="R13" i="41" s="1"/>
  <c r="BF11" i="43"/>
  <c r="BI14" i="43"/>
  <c r="L16" i="38" s="1"/>
  <c r="U16" i="38" s="1"/>
  <c r="BH14" i="43"/>
  <c r="BN14" i="43" s="1"/>
  <c r="S16" i="41" s="1"/>
  <c r="BG14" i="43"/>
  <c r="BM14" i="43" s="1"/>
  <c r="R16" i="41" s="1"/>
  <c r="BF14" i="43"/>
  <c r="BI18" i="43"/>
  <c r="L20" i="38" s="1"/>
  <c r="U20" i="38" s="1"/>
  <c r="BH18" i="43"/>
  <c r="BN18" i="43" s="1"/>
  <c r="S20" i="41" s="1"/>
  <c r="BG18" i="43"/>
  <c r="BM18" i="43" s="1"/>
  <c r="R20" i="41" s="1"/>
  <c r="BF18" i="43"/>
  <c r="BI6" i="43"/>
  <c r="L8" i="38" s="1"/>
  <c r="U8" i="38" s="1"/>
  <c r="BH6" i="43"/>
  <c r="BN6" i="43" s="1"/>
  <c r="S8" i="41" s="1"/>
  <c r="BG6" i="43"/>
  <c r="BM6" i="43" s="1"/>
  <c r="R8" i="41" s="1"/>
  <c r="BF6" i="43"/>
  <c r="BI15" i="43"/>
  <c r="L17" i="38" s="1"/>
  <c r="U17" i="38" s="1"/>
  <c r="BH15" i="43"/>
  <c r="BN15" i="43" s="1"/>
  <c r="S17" i="41" s="1"/>
  <c r="BG15" i="43"/>
  <c r="BM15" i="43" s="1"/>
  <c r="R17" i="41" s="1"/>
  <c r="BF15" i="43"/>
  <c r="BL3" i="43"/>
  <c r="BE3" i="43"/>
  <c r="K5" i="38" s="1"/>
  <c r="T5" i="38" s="1"/>
  <c r="BI8" i="43"/>
  <c r="L10" i="38" s="1"/>
  <c r="U10" i="38" s="1"/>
  <c r="BH8" i="43"/>
  <c r="BN8" i="43" s="1"/>
  <c r="S10" i="41" s="1"/>
  <c r="BG8" i="43"/>
  <c r="BM8" i="43" s="1"/>
  <c r="R10" i="41" s="1"/>
  <c r="BF8" i="43"/>
  <c r="BI7" i="43"/>
  <c r="L9" i="38" s="1"/>
  <c r="U9" i="38" s="1"/>
  <c r="BH7" i="43"/>
  <c r="BN7" i="43" s="1"/>
  <c r="S9" i="41" s="1"/>
  <c r="BG7" i="43"/>
  <c r="BM7" i="43" s="1"/>
  <c r="R9" i="41" s="1"/>
  <c r="BF7" i="43"/>
  <c r="BI10" i="43"/>
  <c r="L12" i="38" s="1"/>
  <c r="U12" i="38" s="1"/>
  <c r="BH10" i="43"/>
  <c r="BN10" i="43" s="1"/>
  <c r="S12" i="41" s="1"/>
  <c r="BG10" i="43"/>
  <c r="BM10" i="43" s="1"/>
  <c r="R12" i="41" s="1"/>
  <c r="BF10" i="43"/>
  <c r="BL9" i="43"/>
  <c r="AX2" i="43"/>
  <c r="AY2" i="43"/>
  <c r="BI16" i="43"/>
  <c r="L18" i="38" s="1"/>
  <c r="U18" i="38" s="1"/>
  <c r="BG16" i="43"/>
  <c r="BM16" i="43" s="1"/>
  <c r="R18" i="41" s="1"/>
  <c r="BH16" i="43"/>
  <c r="BN16" i="43" s="1"/>
  <c r="S18" i="41" s="1"/>
  <c r="BF16" i="43"/>
  <c r="BM3" i="43"/>
  <c r="R5" i="41" s="1"/>
  <c r="F4" i="35"/>
  <c r="N5" i="46" s="1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5" i="5"/>
  <c r="N11" i="40" l="1"/>
  <c r="BO9" i="43"/>
  <c r="BJ9" i="43" s="1"/>
  <c r="BE9" i="43"/>
  <c r="K11" i="38" s="1"/>
  <c r="J11" i="46"/>
  <c r="J12" i="46" s="1"/>
  <c r="D12" i="46"/>
  <c r="Q5" i="46"/>
  <c r="W5" i="46" s="1"/>
  <c r="D6" i="47" s="1"/>
  <c r="I6" i="47" s="1"/>
  <c r="N6" i="47" s="1"/>
  <c r="P5" i="46"/>
  <c r="S5" i="46"/>
  <c r="R5" i="46"/>
  <c r="X5" i="46" s="1"/>
  <c r="E6" i="47" s="1"/>
  <c r="J6" i="47" s="1"/>
  <c r="O6" i="47" s="1"/>
  <c r="K10" i="46"/>
  <c r="H10" i="46" s="1"/>
  <c r="C11" i="46"/>
  <c r="F10" i="35"/>
  <c r="F20" i="35"/>
  <c r="G5" i="35"/>
  <c r="F14" i="35"/>
  <c r="L11" i="46"/>
  <c r="L12" i="46" s="1"/>
  <c r="V5" i="47"/>
  <c r="Z5" i="47" s="1"/>
  <c r="F11" i="35"/>
  <c r="F7" i="35"/>
  <c r="U8" i="40"/>
  <c r="K9" i="40"/>
  <c r="O9" i="40"/>
  <c r="BO5" i="43"/>
  <c r="BJ5" i="43" s="1"/>
  <c r="L7" i="38"/>
  <c r="P11" i="40"/>
  <c r="T11" i="40" s="1"/>
  <c r="C4" i="47"/>
  <c r="T3" i="46"/>
  <c r="U3" i="46"/>
  <c r="B4" i="49" s="1"/>
  <c r="H9" i="46"/>
  <c r="F16" i="35"/>
  <c r="B10" i="46"/>
  <c r="F19" i="35"/>
  <c r="V4" i="40"/>
  <c r="F15" i="35"/>
  <c r="C5" i="40"/>
  <c r="G5" i="40" s="1"/>
  <c r="W5" i="40" s="1"/>
  <c r="Y4" i="46"/>
  <c r="F8" i="35"/>
  <c r="AD4" i="47"/>
  <c r="U5" i="47"/>
  <c r="F12" i="46"/>
  <c r="F12" i="35"/>
  <c r="P10" i="40"/>
  <c r="M12" i="40"/>
  <c r="M13" i="40" s="1"/>
  <c r="M11" i="46"/>
  <c r="F18" i="35"/>
  <c r="F17" i="35"/>
  <c r="F6" i="35"/>
  <c r="F9" i="35"/>
  <c r="D4" i="40"/>
  <c r="G4" i="40"/>
  <c r="H4" i="40" s="1"/>
  <c r="I9" i="46"/>
  <c r="I10" i="40" s="1"/>
  <c r="O4" i="46"/>
  <c r="B5" i="40" s="1"/>
  <c r="V4" i="46"/>
  <c r="F13" i="35"/>
  <c r="G12" i="46"/>
  <c r="BE5" i="43"/>
  <c r="BJ13" i="43"/>
  <c r="BE13" i="43"/>
  <c r="BE17" i="43"/>
  <c r="BL17" i="43"/>
  <c r="Q19" i="41" s="1"/>
  <c r="BF2" i="43"/>
  <c r="P2" i="46" s="1"/>
  <c r="BO11" i="43"/>
  <c r="BO4" i="43"/>
  <c r="X15" i="38"/>
  <c r="O15" i="38"/>
  <c r="BO16" i="43"/>
  <c r="BO7" i="43"/>
  <c r="BO6" i="43"/>
  <c r="BO14" i="43"/>
  <c r="X11" i="38"/>
  <c r="O11" i="38"/>
  <c r="BO12" i="43"/>
  <c r="BO10" i="43"/>
  <c r="AG5" i="38"/>
  <c r="AF5" i="38"/>
  <c r="AE5" i="38"/>
  <c r="AD5" i="38"/>
  <c r="BO8" i="43"/>
  <c r="BO15" i="43"/>
  <c r="BO18" i="43"/>
  <c r="M5" i="38"/>
  <c r="N5" i="38"/>
  <c r="P5" i="38" s="1"/>
  <c r="X19" i="38"/>
  <c r="O19" i="38"/>
  <c r="Q5" i="41"/>
  <c r="BK3" i="43"/>
  <c r="BL8" i="43"/>
  <c r="BE8" i="43"/>
  <c r="K10" i="38" s="1"/>
  <c r="T10" i="38" s="1"/>
  <c r="BL15" i="43"/>
  <c r="BE15" i="43"/>
  <c r="K17" i="38" s="1"/>
  <c r="T17" i="38" s="1"/>
  <c r="BL12" i="43"/>
  <c r="BE12" i="43"/>
  <c r="K14" i="38" s="1"/>
  <c r="T14" i="38" s="1"/>
  <c r="BH2" i="43"/>
  <c r="BL10" i="43"/>
  <c r="BE10" i="43"/>
  <c r="K12" i="38" s="1"/>
  <c r="T12" i="38" s="1"/>
  <c r="BL14" i="43"/>
  <c r="BE14" i="43"/>
  <c r="K16" i="38" s="1"/>
  <c r="T16" i="38" s="1"/>
  <c r="BL6" i="43"/>
  <c r="BE6" i="43"/>
  <c r="K8" i="38" s="1"/>
  <c r="BG2" i="43"/>
  <c r="BL18" i="43"/>
  <c r="BE18" i="43"/>
  <c r="K20" i="38" s="1"/>
  <c r="T20" i="38" s="1"/>
  <c r="BL16" i="43"/>
  <c r="BE16" i="43"/>
  <c r="K18" i="38" s="1"/>
  <c r="T18" i="38" s="1"/>
  <c r="Q7" i="41"/>
  <c r="BK5" i="43"/>
  <c r="BJ3" i="43"/>
  <c r="Q11" i="41"/>
  <c r="BK9" i="43"/>
  <c r="BL7" i="43"/>
  <c r="BE7" i="43"/>
  <c r="K9" i="38" s="1"/>
  <c r="T9" i="38" s="1"/>
  <c r="BL11" i="43"/>
  <c r="BE11" i="43"/>
  <c r="K13" i="38" s="1"/>
  <c r="T13" i="38" s="1"/>
  <c r="BL4" i="43"/>
  <c r="BE4" i="43"/>
  <c r="K6" i="38" s="1"/>
  <c r="T6" i="38" s="1"/>
  <c r="Q15" i="41"/>
  <c r="BK13" i="43"/>
  <c r="BI2" i="43"/>
  <c r="L4" i="38" s="1"/>
  <c r="U4" i="38" s="1"/>
  <c r="G4" i="35"/>
  <c r="N6" i="46" s="1"/>
  <c r="N8" i="38" l="1"/>
  <c r="T8" i="38"/>
  <c r="U7" i="38"/>
  <c r="X7" i="38" s="1"/>
  <c r="N11" i="38"/>
  <c r="T11" i="38"/>
  <c r="V11" i="38" s="1"/>
  <c r="M11" i="38"/>
  <c r="E12" i="46"/>
  <c r="B11" i="46"/>
  <c r="B12" i="46" s="1"/>
  <c r="O7" i="38"/>
  <c r="K19" i="38"/>
  <c r="T19" i="38" s="1"/>
  <c r="S6" i="46"/>
  <c r="P6" i="46"/>
  <c r="R6" i="46"/>
  <c r="X6" i="46" s="1"/>
  <c r="E7" i="47" s="1"/>
  <c r="J7" i="47" s="1"/>
  <c r="O7" i="47" s="1"/>
  <c r="V7" i="47" s="1"/>
  <c r="Q6" i="46"/>
  <c r="W6" i="46" s="1"/>
  <c r="D7" i="47" s="1"/>
  <c r="I7" i="47" s="1"/>
  <c r="N7" i="47" s="1"/>
  <c r="G8" i="35"/>
  <c r="G13" i="35"/>
  <c r="G7" i="35"/>
  <c r="U6" i="47"/>
  <c r="Y6" i="47" s="1"/>
  <c r="G10" i="35"/>
  <c r="T10" i="40"/>
  <c r="H4" i="47"/>
  <c r="B4" i="47"/>
  <c r="K10" i="40"/>
  <c r="O10" i="40"/>
  <c r="G17" i="35"/>
  <c r="G11" i="35"/>
  <c r="G14" i="35"/>
  <c r="K11" i="46"/>
  <c r="K12" i="46" s="1"/>
  <c r="K7" i="38"/>
  <c r="W4" i="40"/>
  <c r="X4" i="40" s="1"/>
  <c r="G12" i="35"/>
  <c r="K15" i="38"/>
  <c r="T15" i="38" s="1"/>
  <c r="G18" i="35"/>
  <c r="G16" i="35"/>
  <c r="AD5" i="47"/>
  <c r="H5" i="35"/>
  <c r="V6" i="47"/>
  <c r="Z6" i="47" s="1"/>
  <c r="I10" i="46"/>
  <c r="I11" i="40" s="1"/>
  <c r="C12" i="46"/>
  <c r="L12" i="40"/>
  <c r="G15" i="35"/>
  <c r="C6" i="40"/>
  <c r="G6" i="40" s="1"/>
  <c r="W6" i="40" s="1"/>
  <c r="Y5" i="46"/>
  <c r="C5" i="47"/>
  <c r="U4" i="46"/>
  <c r="B5" i="49" s="1"/>
  <c r="T4" i="46"/>
  <c r="G6" i="35"/>
  <c r="F5" i="40"/>
  <c r="D5" i="40"/>
  <c r="G19" i="35"/>
  <c r="G9" i="35"/>
  <c r="M12" i="46"/>
  <c r="J12" i="40"/>
  <c r="Y5" i="47"/>
  <c r="S9" i="40"/>
  <c r="Q9" i="40"/>
  <c r="G20" i="35"/>
  <c r="O5" i="46"/>
  <c r="B6" i="40" s="1"/>
  <c r="V5" i="46"/>
  <c r="V2" i="46"/>
  <c r="C3" i="47" s="1"/>
  <c r="BK17" i="43"/>
  <c r="BJ17" i="43"/>
  <c r="BL2" i="43"/>
  <c r="Q4" i="41" s="1"/>
  <c r="BJ15" i="43"/>
  <c r="BJ14" i="43"/>
  <c r="BJ16" i="43"/>
  <c r="BJ11" i="43"/>
  <c r="BJ7" i="43"/>
  <c r="X4" i="38"/>
  <c r="S2" i="46"/>
  <c r="C3" i="40" s="1"/>
  <c r="BJ8" i="43"/>
  <c r="BJ18" i="43"/>
  <c r="BM2" i="43"/>
  <c r="R4" i="41" s="1"/>
  <c r="Q2" i="46"/>
  <c r="BN2" i="43"/>
  <c r="S4" i="41" s="1"/>
  <c r="R2" i="46"/>
  <c r="M12" i="38"/>
  <c r="N12" i="38"/>
  <c r="AE19" i="38"/>
  <c r="AD19" i="38"/>
  <c r="AF19" i="38"/>
  <c r="AG19" i="38"/>
  <c r="X18" i="38"/>
  <c r="O18" i="38"/>
  <c r="X6" i="38"/>
  <c r="O6" i="38"/>
  <c r="X12" i="38"/>
  <c r="O12" i="38"/>
  <c r="M8" i="38"/>
  <c r="X16" i="38"/>
  <c r="O16" i="38"/>
  <c r="X13" i="38"/>
  <c r="O13" i="38"/>
  <c r="M18" i="38"/>
  <c r="N18" i="38"/>
  <c r="M14" i="38"/>
  <c r="N14" i="38"/>
  <c r="X20" i="38"/>
  <c r="O20" i="38"/>
  <c r="M9" i="38"/>
  <c r="N9" i="38"/>
  <c r="V5" i="38"/>
  <c r="W5" i="38"/>
  <c r="P11" i="38"/>
  <c r="X8" i="38"/>
  <c r="O8" i="38"/>
  <c r="M17" i="38"/>
  <c r="N17" i="38"/>
  <c r="X17" i="38"/>
  <c r="O17" i="38"/>
  <c r="AE11" i="38"/>
  <c r="AD11" i="38"/>
  <c r="AF11" i="38"/>
  <c r="AG11" i="38"/>
  <c r="M13" i="38"/>
  <c r="N13" i="38"/>
  <c r="M16" i="38"/>
  <c r="N16" i="38"/>
  <c r="X14" i="38"/>
  <c r="O14" i="38"/>
  <c r="X9" i="38"/>
  <c r="O9" i="38"/>
  <c r="M6" i="38"/>
  <c r="N6" i="38"/>
  <c r="M20" i="38"/>
  <c r="N20" i="38"/>
  <c r="M10" i="38"/>
  <c r="N10" i="38"/>
  <c r="X10" i="38"/>
  <c r="O10" i="38"/>
  <c r="AG15" i="38"/>
  <c r="AF15" i="38"/>
  <c r="AE15" i="38"/>
  <c r="AD15" i="38"/>
  <c r="P15" i="41"/>
  <c r="Q6" i="41"/>
  <c r="BK4" i="43"/>
  <c r="Q8" i="41"/>
  <c r="BK6" i="43"/>
  <c r="P5" i="41"/>
  <c r="Q14" i="41"/>
  <c r="BK12" i="43"/>
  <c r="Q12" i="41"/>
  <c r="BK10" i="43"/>
  <c r="Q13" i="41"/>
  <c r="BK11" i="43"/>
  <c r="Q20" i="41"/>
  <c r="BK18" i="43"/>
  <c r="BJ10" i="43"/>
  <c r="P11" i="41"/>
  <c r="Q10" i="41"/>
  <c r="BK8" i="43"/>
  <c r="Q18" i="41"/>
  <c r="BK16" i="43"/>
  <c r="BJ6" i="43"/>
  <c r="BE2" i="43"/>
  <c r="K4" i="38" s="1"/>
  <c r="T4" i="38" s="1"/>
  <c r="P19" i="41"/>
  <c r="BD2" i="43"/>
  <c r="BO2" i="43"/>
  <c r="BJ12" i="43"/>
  <c r="BJ4" i="43"/>
  <c r="Q16" i="41"/>
  <c r="BK14" i="43"/>
  <c r="P7" i="41"/>
  <c r="Q9" i="41"/>
  <c r="BK7" i="43"/>
  <c r="Q17" i="41"/>
  <c r="BK15" i="43"/>
  <c r="H4" i="35"/>
  <c r="N7" i="46" s="1"/>
  <c r="AG7" i="38" l="1"/>
  <c r="AF7" i="38"/>
  <c r="AE7" i="38"/>
  <c r="AD7" i="38"/>
  <c r="T7" i="38"/>
  <c r="V7" i="38" s="1"/>
  <c r="W11" i="38"/>
  <c r="AB11" i="38" s="1"/>
  <c r="N19" i="38"/>
  <c r="P19" i="38" s="1"/>
  <c r="N7" i="38"/>
  <c r="P7" i="38" s="1"/>
  <c r="M19" i="38"/>
  <c r="V19" i="38"/>
  <c r="W19" i="38"/>
  <c r="AB19" i="38" s="1"/>
  <c r="H16" i="35"/>
  <c r="C6" i="47"/>
  <c r="U5" i="46"/>
  <c r="B6" i="49" s="1"/>
  <c r="T5" i="46"/>
  <c r="K11" i="40"/>
  <c r="O11" i="40"/>
  <c r="AC6" i="47"/>
  <c r="U7" i="47"/>
  <c r="Y7" i="47" s="1"/>
  <c r="AC7" i="47" s="1"/>
  <c r="H3" i="47"/>
  <c r="H5" i="47"/>
  <c r="B5" i="47"/>
  <c r="N12" i="40"/>
  <c r="N13" i="40" s="1"/>
  <c r="L13" i="40"/>
  <c r="H10" i="35"/>
  <c r="H19" i="35"/>
  <c r="H8" i="35"/>
  <c r="F6" i="40"/>
  <c r="D6" i="40"/>
  <c r="H5" i="40"/>
  <c r="V5" i="40"/>
  <c r="X5" i="40" s="1"/>
  <c r="H18" i="35"/>
  <c r="H14" i="35"/>
  <c r="Z7" i="47"/>
  <c r="AD7" i="47" s="1"/>
  <c r="H17" i="35"/>
  <c r="U9" i="40"/>
  <c r="S10" i="40"/>
  <c r="Q10" i="40"/>
  <c r="P12" i="40"/>
  <c r="J13" i="40"/>
  <c r="AD6" i="47"/>
  <c r="M15" i="38"/>
  <c r="M4" i="47"/>
  <c r="G4" i="47"/>
  <c r="H7" i="35"/>
  <c r="O6" i="46"/>
  <c r="B7" i="40" s="1"/>
  <c r="V6" i="46"/>
  <c r="G3" i="40"/>
  <c r="H20" i="35"/>
  <c r="H6" i="35"/>
  <c r="H15" i="35"/>
  <c r="N15" i="38"/>
  <c r="P15" i="38" s="1"/>
  <c r="M7" i="38"/>
  <c r="H11" i="35"/>
  <c r="C7" i="40"/>
  <c r="G7" i="40" s="1"/>
  <c r="W7" i="40" s="1"/>
  <c r="Y6" i="46"/>
  <c r="H12" i="35"/>
  <c r="AC5" i="47"/>
  <c r="I5" i="35"/>
  <c r="H11" i="46"/>
  <c r="H12" i="46" s="1"/>
  <c r="S7" i="46"/>
  <c r="P7" i="46"/>
  <c r="R7" i="46"/>
  <c r="X7" i="46" s="1"/>
  <c r="E8" i="47" s="1"/>
  <c r="J8" i="47" s="1"/>
  <c r="O8" i="47" s="1"/>
  <c r="Q7" i="46"/>
  <c r="W7" i="46" s="1"/>
  <c r="D8" i="47" s="1"/>
  <c r="I8" i="47" s="1"/>
  <c r="N8" i="47" s="1"/>
  <c r="H9" i="35"/>
  <c r="I11" i="46"/>
  <c r="H13" i="35"/>
  <c r="P18" i="38"/>
  <c r="X2" i="46"/>
  <c r="W2" i="46"/>
  <c r="Y2" i="46"/>
  <c r="O4" i="38"/>
  <c r="BK2" i="43"/>
  <c r="P4" i="41"/>
  <c r="P6" i="38"/>
  <c r="P17" i="38"/>
  <c r="BJ2" i="43"/>
  <c r="P16" i="38"/>
  <c r="P8" i="38"/>
  <c r="P20" i="38"/>
  <c r="O2" i="46"/>
  <c r="N2" i="46"/>
  <c r="V13" i="38"/>
  <c r="W13" i="38"/>
  <c r="P14" i="38"/>
  <c r="AG13" i="38"/>
  <c r="AF13" i="38"/>
  <c r="AE13" i="38"/>
  <c r="AD13" i="38"/>
  <c r="AD18" i="38"/>
  <c r="AG18" i="38"/>
  <c r="AE18" i="38"/>
  <c r="AF18" i="38"/>
  <c r="V20" i="38"/>
  <c r="W20" i="38"/>
  <c r="AD14" i="38"/>
  <c r="AG14" i="38"/>
  <c r="AF14" i="38"/>
  <c r="AE14" i="38"/>
  <c r="AG17" i="38"/>
  <c r="AF17" i="38"/>
  <c r="AD17" i="38"/>
  <c r="AE17" i="38"/>
  <c r="AG4" i="38"/>
  <c r="AF4" i="38"/>
  <c r="AE4" i="38"/>
  <c r="AD4" i="38"/>
  <c r="V14" i="38"/>
  <c r="W14" i="38"/>
  <c r="AD10" i="38"/>
  <c r="AG10" i="38"/>
  <c r="AE10" i="38"/>
  <c r="AF10" i="38"/>
  <c r="AF16" i="38"/>
  <c r="AE16" i="38"/>
  <c r="AG16" i="38"/>
  <c r="AD16" i="38"/>
  <c r="AD12" i="38"/>
  <c r="AF12" i="38"/>
  <c r="AE12" i="38"/>
  <c r="AG12" i="38"/>
  <c r="M4" i="38"/>
  <c r="N4" i="38"/>
  <c r="V16" i="38"/>
  <c r="W16" i="38"/>
  <c r="V9" i="38"/>
  <c r="W9" i="38"/>
  <c r="V6" i="38"/>
  <c r="W6" i="38"/>
  <c r="V17" i="38"/>
  <c r="W17" i="38"/>
  <c r="V18" i="38"/>
  <c r="W18" i="38"/>
  <c r="P10" i="38"/>
  <c r="AA5" i="38"/>
  <c r="AB5" i="38"/>
  <c r="Z5" i="38"/>
  <c r="AC5" i="38"/>
  <c r="Y5" i="38"/>
  <c r="V8" i="38"/>
  <c r="W8" i="38"/>
  <c r="P12" i="38"/>
  <c r="V10" i="38"/>
  <c r="W10" i="38"/>
  <c r="P9" i="38"/>
  <c r="AG6" i="38"/>
  <c r="AF6" i="38"/>
  <c r="AE6" i="38"/>
  <c r="AD6" i="38"/>
  <c r="V12" i="38"/>
  <c r="W12" i="38"/>
  <c r="AG9" i="38"/>
  <c r="AF9" i="38"/>
  <c r="AD9" i="38"/>
  <c r="AE9" i="38"/>
  <c r="AF8" i="38"/>
  <c r="AE8" i="38"/>
  <c r="AG8" i="38"/>
  <c r="AD8" i="38"/>
  <c r="AG20" i="38"/>
  <c r="AD20" i="38"/>
  <c r="AF20" i="38"/>
  <c r="AE20" i="38"/>
  <c r="P13" i="38"/>
  <c r="P9" i="41"/>
  <c r="P10" i="41"/>
  <c r="P20" i="41"/>
  <c r="P13" i="41"/>
  <c r="P8" i="41"/>
  <c r="P16" i="41"/>
  <c r="P12" i="41"/>
  <c r="P6" i="41"/>
  <c r="P17" i="41"/>
  <c r="P18" i="41"/>
  <c r="P14" i="41"/>
  <c r="I4" i="35"/>
  <c r="N8" i="46" s="1"/>
  <c r="W7" i="38" l="1"/>
  <c r="AA7" i="38" s="1"/>
  <c r="P4" i="38"/>
  <c r="AA11" i="38"/>
  <c r="Z11" i="38"/>
  <c r="Y11" i="38"/>
  <c r="AC11" i="38"/>
  <c r="Y19" i="38"/>
  <c r="AC19" i="38"/>
  <c r="AA19" i="38"/>
  <c r="Z19" i="38"/>
  <c r="U2" i="46"/>
  <c r="B3" i="49" s="1"/>
  <c r="W3" i="40"/>
  <c r="I19" i="35"/>
  <c r="E3" i="47"/>
  <c r="I11" i="35"/>
  <c r="I20" i="35"/>
  <c r="T4" i="47"/>
  <c r="X4" i="47" s="1"/>
  <c r="W4" i="47" s="1"/>
  <c r="L4" i="47"/>
  <c r="I8" i="35"/>
  <c r="M5" i="47"/>
  <c r="G5" i="47"/>
  <c r="W15" i="38"/>
  <c r="V15" i="38"/>
  <c r="T2" i="46"/>
  <c r="O7" i="46"/>
  <c r="B8" i="40" s="1"/>
  <c r="V7" i="46"/>
  <c r="C7" i="47"/>
  <c r="U6" i="46"/>
  <c r="B7" i="49" s="1"/>
  <c r="T6" i="46"/>
  <c r="I17" i="35"/>
  <c r="M3" i="47"/>
  <c r="B6" i="47"/>
  <c r="H6" i="47"/>
  <c r="I18" i="35"/>
  <c r="I13" i="35"/>
  <c r="C8" i="40"/>
  <c r="Y7" i="46"/>
  <c r="I12" i="35"/>
  <c r="I15" i="35"/>
  <c r="D7" i="40"/>
  <c r="F7" i="40"/>
  <c r="I10" i="35"/>
  <c r="P8" i="46"/>
  <c r="V8" i="46" s="1"/>
  <c r="R8" i="46"/>
  <c r="S8" i="46"/>
  <c r="Q8" i="46"/>
  <c r="I12" i="46"/>
  <c r="I12" i="40"/>
  <c r="T12" i="40"/>
  <c r="P13" i="40"/>
  <c r="I16" i="35"/>
  <c r="U8" i="47"/>
  <c r="Y8" i="47" s="1"/>
  <c r="V8" i="47"/>
  <c r="B3" i="40"/>
  <c r="D3" i="47"/>
  <c r="I6" i="35"/>
  <c r="I7" i="35"/>
  <c r="H6" i="40"/>
  <c r="V6" i="40"/>
  <c r="X6" i="40" s="1"/>
  <c r="J5" i="35"/>
  <c r="I9" i="35"/>
  <c r="U10" i="40"/>
  <c r="I14" i="35"/>
  <c r="S11" i="40"/>
  <c r="Q11" i="40"/>
  <c r="AB7" i="38"/>
  <c r="AA16" i="38"/>
  <c r="Z16" i="38"/>
  <c r="AC16" i="38"/>
  <c r="Y16" i="38"/>
  <c r="AB16" i="38"/>
  <c r="V4" i="38"/>
  <c r="W4" i="38"/>
  <c r="AA14" i="38"/>
  <c r="AC14" i="38"/>
  <c r="AB14" i="38"/>
  <c r="Z14" i="38"/>
  <c r="Y14" i="38"/>
  <c r="AA10" i="38"/>
  <c r="AC10" i="38"/>
  <c r="AB10" i="38"/>
  <c r="Z10" i="38"/>
  <c r="Y10" i="38"/>
  <c r="AA17" i="38"/>
  <c r="AC17" i="38"/>
  <c r="AB17" i="38"/>
  <c r="Z17" i="38"/>
  <c r="Y17" i="38"/>
  <c r="AA6" i="38"/>
  <c r="Z6" i="38"/>
  <c r="Y6" i="38"/>
  <c r="AC6" i="38"/>
  <c r="AB6" i="38"/>
  <c r="AA13" i="38"/>
  <c r="Y13" i="38"/>
  <c r="AC13" i="38"/>
  <c r="AB13" i="38"/>
  <c r="Z13" i="38"/>
  <c r="AA12" i="38"/>
  <c r="Y12" i="38"/>
  <c r="AC12" i="38"/>
  <c r="AB12" i="38"/>
  <c r="Z12" i="38"/>
  <c r="AA8" i="38"/>
  <c r="Z8" i="38"/>
  <c r="Y8" i="38"/>
  <c r="AC8" i="38"/>
  <c r="AB8" i="38"/>
  <c r="AA9" i="38"/>
  <c r="Y9" i="38"/>
  <c r="AB9" i="38"/>
  <c r="Z9" i="38"/>
  <c r="AC9" i="38"/>
  <c r="AA20" i="38"/>
  <c r="AB20" i="38"/>
  <c r="Z20" i="38"/>
  <c r="AC20" i="38"/>
  <c r="Y20" i="38"/>
  <c r="AA18" i="38"/>
  <c r="AC18" i="38"/>
  <c r="AB18" i="38"/>
  <c r="Z18" i="38"/>
  <c r="Y18" i="38"/>
  <c r="J4" i="35"/>
  <c r="N9" i="46" s="1"/>
  <c r="Z7" i="38" l="1"/>
  <c r="Y7" i="38"/>
  <c r="AC7" i="38"/>
  <c r="D3" i="49"/>
  <c r="D4" i="49" s="1"/>
  <c r="C3" i="49"/>
  <c r="C4" i="49" s="1"/>
  <c r="T3" i="47"/>
  <c r="X3" i="47" s="1"/>
  <c r="J6" i="35"/>
  <c r="AC8" i="47"/>
  <c r="O8" i="46"/>
  <c r="B9" i="40" s="1"/>
  <c r="W8" i="46"/>
  <c r="J13" i="35"/>
  <c r="J7" i="35"/>
  <c r="G8" i="40"/>
  <c r="J11" i="35"/>
  <c r="J3" i="47"/>
  <c r="Q9" i="46"/>
  <c r="R9" i="46"/>
  <c r="X9" i="46" s="1"/>
  <c r="E10" i="47" s="1"/>
  <c r="J10" i="47" s="1"/>
  <c r="O10" i="47" s="1"/>
  <c r="P9" i="46"/>
  <c r="S9" i="46"/>
  <c r="U11" i="40"/>
  <c r="I3" i="47"/>
  <c r="B3" i="47"/>
  <c r="C9" i="40"/>
  <c r="G9" i="40" s="1"/>
  <c r="W9" i="40" s="1"/>
  <c r="Y8" i="46"/>
  <c r="J17" i="35"/>
  <c r="K5" i="35"/>
  <c r="J16" i="35"/>
  <c r="X8" i="46"/>
  <c r="J15" i="35"/>
  <c r="J18" i="35"/>
  <c r="Y15" i="38"/>
  <c r="AA15" i="38"/>
  <c r="AC15" i="38"/>
  <c r="Z15" i="38"/>
  <c r="AB15" i="38"/>
  <c r="AB4" i="47"/>
  <c r="AA4" i="47" s="1"/>
  <c r="S4" i="47"/>
  <c r="J19" i="35"/>
  <c r="C8" i="47"/>
  <c r="U7" i="46"/>
  <c r="B8" i="49" s="1"/>
  <c r="T7" i="46"/>
  <c r="J9" i="35"/>
  <c r="D8" i="40"/>
  <c r="F8" i="40"/>
  <c r="J14" i="35"/>
  <c r="F3" i="40"/>
  <c r="D3" i="40"/>
  <c r="C9" i="47"/>
  <c r="M6" i="47"/>
  <c r="G6" i="47"/>
  <c r="J8" i="35"/>
  <c r="T13" i="40"/>
  <c r="J12" i="35"/>
  <c r="H7" i="47"/>
  <c r="B7" i="47"/>
  <c r="J20" i="35"/>
  <c r="H7" i="40"/>
  <c r="V7" i="40"/>
  <c r="X7" i="40" s="1"/>
  <c r="Z8" i="47"/>
  <c r="AD8" i="47" s="1"/>
  <c r="K12" i="40"/>
  <c r="K13" i="40" s="1"/>
  <c r="O12" i="40"/>
  <c r="I13" i="40"/>
  <c r="J10" i="35"/>
  <c r="T5" i="47"/>
  <c r="X5" i="47" s="1"/>
  <c r="W5" i="47" s="1"/>
  <c r="L5" i="47"/>
  <c r="AA4" i="38"/>
  <c r="AC4" i="38"/>
  <c r="Z4" i="38"/>
  <c r="Y4" i="38"/>
  <c r="AB4" i="38"/>
  <c r="K4" i="35"/>
  <c r="N10" i="46" s="1"/>
  <c r="T3" i="18"/>
  <c r="T4" i="18"/>
  <c r="T5" i="18"/>
  <c r="T6" i="18"/>
  <c r="T7" i="18"/>
  <c r="T8" i="18"/>
  <c r="T9" i="18"/>
  <c r="T10" i="18"/>
  <c r="T11" i="18"/>
  <c r="T12" i="18"/>
  <c r="T13" i="18"/>
  <c r="T14" i="18"/>
  <c r="T15" i="18"/>
  <c r="T16" i="18"/>
  <c r="T17" i="18"/>
  <c r="T18" i="18"/>
  <c r="P3" i="18"/>
  <c r="P4" i="18"/>
  <c r="P5" i="18"/>
  <c r="P6" i="18"/>
  <c r="P7" i="18"/>
  <c r="P8" i="18"/>
  <c r="P9" i="18"/>
  <c r="P10" i="18"/>
  <c r="P11" i="18"/>
  <c r="P12" i="18"/>
  <c r="P13" i="18"/>
  <c r="P14" i="18"/>
  <c r="P15" i="18"/>
  <c r="P16" i="18"/>
  <c r="P17" i="18"/>
  <c r="P18" i="18"/>
  <c r="L3" i="18"/>
  <c r="L4" i="18"/>
  <c r="L5" i="18"/>
  <c r="L6" i="18"/>
  <c r="L7" i="18"/>
  <c r="L8" i="18"/>
  <c r="L9" i="18"/>
  <c r="L10" i="18"/>
  <c r="L11" i="18"/>
  <c r="L12" i="18"/>
  <c r="L13" i="18"/>
  <c r="L14" i="18"/>
  <c r="L15" i="18"/>
  <c r="L16" i="18"/>
  <c r="L17" i="18"/>
  <c r="L18" i="18"/>
  <c r="H3" i="18"/>
  <c r="H4" i="18"/>
  <c r="H5" i="18"/>
  <c r="H6" i="18"/>
  <c r="H7" i="18"/>
  <c r="H8" i="18"/>
  <c r="H9" i="18"/>
  <c r="H10" i="18"/>
  <c r="H11" i="18"/>
  <c r="H12" i="18"/>
  <c r="H13" i="18"/>
  <c r="H14" i="18"/>
  <c r="H15" i="18"/>
  <c r="H16" i="18"/>
  <c r="H17" i="18"/>
  <c r="H18" i="18"/>
  <c r="C5" i="49" l="1"/>
  <c r="E4" i="49"/>
  <c r="H4" i="49" s="1"/>
  <c r="J4" i="49" s="1"/>
  <c r="D5" i="49"/>
  <c r="F4" i="49"/>
  <c r="U8" i="46"/>
  <c r="B9" i="49" s="1"/>
  <c r="T8" i="46"/>
  <c r="S12" i="40"/>
  <c r="Q12" i="40"/>
  <c r="O13" i="40"/>
  <c r="Q13" i="40" s="1"/>
  <c r="H9" i="47"/>
  <c r="K18" i="35"/>
  <c r="M5" i="35"/>
  <c r="L5" i="35"/>
  <c r="N3" i="47"/>
  <c r="G3" i="47"/>
  <c r="O3" i="47"/>
  <c r="K12" i="35"/>
  <c r="H8" i="40"/>
  <c r="V8" i="40"/>
  <c r="K6" i="35"/>
  <c r="K20" i="35"/>
  <c r="K9" i="35"/>
  <c r="K13" i="35"/>
  <c r="AB5" i="47"/>
  <c r="AA5" i="47" s="1"/>
  <c r="S5" i="47"/>
  <c r="K15" i="35"/>
  <c r="K17" i="35"/>
  <c r="K11" i="35"/>
  <c r="D9" i="47"/>
  <c r="W9" i="46"/>
  <c r="D10" i="47" s="1"/>
  <c r="I10" i="47" s="1"/>
  <c r="N10" i="47" s="1"/>
  <c r="R10" i="46"/>
  <c r="S10" i="46"/>
  <c r="Q10" i="46"/>
  <c r="W10" i="46" s="1"/>
  <c r="D11" i="47" s="1"/>
  <c r="I11" i="47" s="1"/>
  <c r="N11" i="47" s="1"/>
  <c r="P10" i="46"/>
  <c r="K19" i="35"/>
  <c r="K8" i="35"/>
  <c r="H3" i="40"/>
  <c r="V3" i="40"/>
  <c r="C10" i="40"/>
  <c r="G10" i="40" s="1"/>
  <c r="W10" i="40" s="1"/>
  <c r="Y9" i="46"/>
  <c r="F9" i="40"/>
  <c r="D9" i="40"/>
  <c r="AB3" i="47"/>
  <c r="K16" i="35"/>
  <c r="G7" i="47"/>
  <c r="M7" i="47"/>
  <c r="E9" i="47"/>
  <c r="O9" i="46"/>
  <c r="V9" i="46"/>
  <c r="W8" i="40"/>
  <c r="K10" i="35"/>
  <c r="K7" i="35"/>
  <c r="T6" i="47"/>
  <c r="L6" i="47"/>
  <c r="K14" i="35"/>
  <c r="H8" i="47"/>
  <c r="B8" i="47"/>
  <c r="V10" i="47"/>
  <c r="Z10" i="47" s="1"/>
  <c r="M4" i="35"/>
  <c r="L4" i="35"/>
  <c r="N11" i="46" s="1"/>
  <c r="D6" i="49" l="1"/>
  <c r="F5" i="49"/>
  <c r="I5" i="49" s="1"/>
  <c r="K5" i="49" s="1"/>
  <c r="I4" i="49"/>
  <c r="K4" i="49" s="1"/>
  <c r="L4" i="49" s="1"/>
  <c r="M4" i="49" s="1"/>
  <c r="C6" i="49"/>
  <c r="E5" i="49"/>
  <c r="H5" i="49" s="1"/>
  <c r="J5" i="49" s="1"/>
  <c r="X8" i="40"/>
  <c r="B9" i="47"/>
  <c r="U11" i="47"/>
  <c r="Y11" i="47" s="1"/>
  <c r="J9" i="47"/>
  <c r="X10" i="46"/>
  <c r="M11" i="35"/>
  <c r="L11" i="35"/>
  <c r="M13" i="35"/>
  <c r="L13" i="35"/>
  <c r="U12" i="40"/>
  <c r="U13" i="40" s="1"/>
  <c r="S13" i="40"/>
  <c r="U3" i="47"/>
  <c r="L3" i="47"/>
  <c r="M8" i="47"/>
  <c r="G8" i="47"/>
  <c r="M10" i="35"/>
  <c r="L10" i="35"/>
  <c r="T7" i="47"/>
  <c r="X7" i="47" s="1"/>
  <c r="W7" i="47" s="1"/>
  <c r="L7" i="47"/>
  <c r="H9" i="40"/>
  <c r="V9" i="40"/>
  <c r="X9" i="40" s="1"/>
  <c r="M8" i="35"/>
  <c r="L8" i="35"/>
  <c r="AD10" i="47"/>
  <c r="C11" i="40"/>
  <c r="Y10" i="46"/>
  <c r="U10" i="47"/>
  <c r="Y10" i="47" s="1"/>
  <c r="M17" i="35"/>
  <c r="L17" i="35"/>
  <c r="M9" i="35"/>
  <c r="L9" i="35"/>
  <c r="M12" i="35"/>
  <c r="L12" i="35"/>
  <c r="M14" i="35"/>
  <c r="L14" i="35"/>
  <c r="M19" i="35"/>
  <c r="L19" i="35"/>
  <c r="M18" i="35"/>
  <c r="L18" i="35"/>
  <c r="M6" i="35"/>
  <c r="L6" i="35"/>
  <c r="R11" i="46"/>
  <c r="X11" i="46" s="1"/>
  <c r="E12" i="47" s="1"/>
  <c r="J12" i="47" s="1"/>
  <c r="O12" i="47" s="1"/>
  <c r="S11" i="46"/>
  <c r="S12" i="46" s="1"/>
  <c r="Q11" i="46"/>
  <c r="W11" i="46" s="1"/>
  <c r="D12" i="47" s="1"/>
  <c r="I12" i="47" s="1"/>
  <c r="N12" i="47" s="1"/>
  <c r="P11" i="46"/>
  <c r="P12" i="46" s="1"/>
  <c r="M16" i="35"/>
  <c r="L16" i="35"/>
  <c r="N12" i="46"/>
  <c r="M15" i="35"/>
  <c r="L15" i="35"/>
  <c r="M20" i="35"/>
  <c r="L20" i="35"/>
  <c r="V3" i="47"/>
  <c r="Z3" i="47" s="1"/>
  <c r="B10" i="40"/>
  <c r="I9" i="47"/>
  <c r="M7" i="35"/>
  <c r="L7" i="35"/>
  <c r="X6" i="47"/>
  <c r="AB6" i="47" s="1"/>
  <c r="AA6" i="47" s="1"/>
  <c r="S6" i="47"/>
  <c r="C10" i="47"/>
  <c r="U9" i="46"/>
  <c r="B10" i="49" s="1"/>
  <c r="T9" i="46"/>
  <c r="X3" i="40"/>
  <c r="O10" i="46"/>
  <c r="B11" i="40" s="1"/>
  <c r="F11" i="40" s="1"/>
  <c r="V11" i="40" s="1"/>
  <c r="V10" i="46"/>
  <c r="M9" i="47"/>
  <c r="L5" i="49" l="1"/>
  <c r="M5" i="49" s="1"/>
  <c r="C7" i="49"/>
  <c r="E6" i="49"/>
  <c r="H6" i="49" s="1"/>
  <c r="J6" i="49" s="1"/>
  <c r="D7" i="49"/>
  <c r="F6" i="49"/>
  <c r="G9" i="47"/>
  <c r="Q12" i="46"/>
  <c r="D10" i="40"/>
  <c r="F10" i="40"/>
  <c r="V12" i="47"/>
  <c r="Z12" i="47" s="1"/>
  <c r="S3" i="47"/>
  <c r="R12" i="46"/>
  <c r="AC10" i="47"/>
  <c r="T9" i="47"/>
  <c r="X9" i="47" s="1"/>
  <c r="AD3" i="47"/>
  <c r="T8" i="47"/>
  <c r="X8" i="47" s="1"/>
  <c r="W8" i="47" s="1"/>
  <c r="L8" i="47"/>
  <c r="O9" i="47"/>
  <c r="E11" i="47"/>
  <c r="X12" i="46"/>
  <c r="W6" i="47"/>
  <c r="W12" i="46"/>
  <c r="D13" i="47"/>
  <c r="O11" i="46"/>
  <c r="B12" i="40" s="1"/>
  <c r="B13" i="40" s="1"/>
  <c r="V11" i="46"/>
  <c r="N9" i="47"/>
  <c r="L9" i="47" s="1"/>
  <c r="I13" i="47"/>
  <c r="U12" i="47"/>
  <c r="Y12" i="47" s="1"/>
  <c r="D11" i="40"/>
  <c r="G11" i="40"/>
  <c r="AC11" i="47"/>
  <c r="C11" i="47"/>
  <c r="U10" i="46"/>
  <c r="B11" i="49" s="1"/>
  <c r="T10" i="46"/>
  <c r="B10" i="47"/>
  <c r="H10" i="47"/>
  <c r="C12" i="40"/>
  <c r="G12" i="40" s="1"/>
  <c r="W12" i="40" s="1"/>
  <c r="Y11" i="46"/>
  <c r="Y12" i="46" s="1"/>
  <c r="S7" i="47"/>
  <c r="AB7" i="47"/>
  <c r="AA7" i="47" s="1"/>
  <c r="Y3" i="47"/>
  <c r="AC3" i="47" s="1"/>
  <c r="D8" i="49" l="1"/>
  <c r="F7" i="49"/>
  <c r="I7" i="49" s="1"/>
  <c r="K7" i="49" s="1"/>
  <c r="I6" i="49"/>
  <c r="K6" i="49" s="1"/>
  <c r="L6" i="49" s="1"/>
  <c r="M6" i="49" s="1"/>
  <c r="C8" i="49"/>
  <c r="E7" i="49"/>
  <c r="H7" i="49" s="1"/>
  <c r="J7" i="49" s="1"/>
  <c r="O12" i="46"/>
  <c r="C13" i="40"/>
  <c r="H11" i="40"/>
  <c r="W11" i="40"/>
  <c r="G13" i="40"/>
  <c r="C12" i="47"/>
  <c r="U11" i="46"/>
  <c r="T11" i="46"/>
  <c r="T12" i="46" s="1"/>
  <c r="V12" i="46"/>
  <c r="AA3" i="47"/>
  <c r="W3" i="47"/>
  <c r="M10" i="47"/>
  <c r="G10" i="47"/>
  <c r="F12" i="40"/>
  <c r="F13" i="40" s="1"/>
  <c r="D12" i="40"/>
  <c r="D13" i="40" s="1"/>
  <c r="J11" i="47"/>
  <c r="E13" i="47"/>
  <c r="AC12" i="47"/>
  <c r="V9" i="47"/>
  <c r="AB9" i="47"/>
  <c r="H10" i="40"/>
  <c r="V10" i="40"/>
  <c r="AD12" i="47"/>
  <c r="B11" i="47"/>
  <c r="H11" i="47"/>
  <c r="U9" i="47"/>
  <c r="Y9" i="47" s="1"/>
  <c r="N13" i="47"/>
  <c r="AB8" i="47"/>
  <c r="AA8" i="47" s="1"/>
  <c r="S8" i="47"/>
  <c r="L7" i="49" l="1"/>
  <c r="M7" i="49" s="1"/>
  <c r="C9" i="49"/>
  <c r="E8" i="49"/>
  <c r="D9" i="49"/>
  <c r="F8" i="49"/>
  <c r="I8" i="49" s="1"/>
  <c r="K8" i="49" s="1"/>
  <c r="U12" i="46"/>
  <c r="B12" i="49"/>
  <c r="H12" i="47"/>
  <c r="B12" i="47"/>
  <c r="B13" i="47" s="1"/>
  <c r="C13" i="47"/>
  <c r="X10" i="40"/>
  <c r="Y13" i="47"/>
  <c r="T10" i="47"/>
  <c r="X10" i="47" s="1"/>
  <c r="L10" i="47"/>
  <c r="S9" i="47"/>
  <c r="AC9" i="47"/>
  <c r="AC13" i="47" s="1"/>
  <c r="U13" i="47"/>
  <c r="O11" i="47"/>
  <c r="J13" i="47"/>
  <c r="W13" i="40"/>
  <c r="X11" i="40"/>
  <c r="G11" i="47"/>
  <c r="M11" i="47"/>
  <c r="Z9" i="47"/>
  <c r="H12" i="40"/>
  <c r="H13" i="40" s="1"/>
  <c r="V12" i="40"/>
  <c r="X12" i="40" s="1"/>
  <c r="D10" i="49" l="1"/>
  <c r="F9" i="49"/>
  <c r="I9" i="49" s="1"/>
  <c r="K9" i="49" s="1"/>
  <c r="H8" i="49"/>
  <c r="J8" i="49" s="1"/>
  <c r="L8" i="49" s="1"/>
  <c r="M8" i="49" s="1"/>
  <c r="C10" i="49"/>
  <c r="E9" i="49"/>
  <c r="H9" i="49" s="1"/>
  <c r="J9" i="49" s="1"/>
  <c r="B13" i="49"/>
  <c r="V11" i="47"/>
  <c r="O13" i="47"/>
  <c r="S10" i="47"/>
  <c r="AB10" i="47"/>
  <c r="M12" i="47"/>
  <c r="G12" i="47"/>
  <c r="H13" i="47"/>
  <c r="G13" i="47" s="1"/>
  <c r="W10" i="47"/>
  <c r="W9" i="47"/>
  <c r="T11" i="47"/>
  <c r="L11" i="47"/>
  <c r="V13" i="40"/>
  <c r="X13" i="40" s="1"/>
  <c r="AD9" i="47"/>
  <c r="L9" i="49" l="1"/>
  <c r="M9" i="49" s="1"/>
  <c r="C11" i="49"/>
  <c r="E10" i="49"/>
  <c r="D11" i="49"/>
  <c r="F10" i="49"/>
  <c r="I10" i="49" s="1"/>
  <c r="K10" i="49" s="1"/>
  <c r="X11" i="47"/>
  <c r="AB11" i="47" s="1"/>
  <c r="AA10" i="47"/>
  <c r="T12" i="47"/>
  <c r="X12" i="47" s="1"/>
  <c r="W12" i="47" s="1"/>
  <c r="L12" i="47"/>
  <c r="L13" i="47" s="1"/>
  <c r="M13" i="47"/>
  <c r="S11" i="47"/>
  <c r="AA9" i="47"/>
  <c r="Z11" i="47"/>
  <c r="Z13" i="47" s="1"/>
  <c r="V13" i="47"/>
  <c r="D12" i="49" l="1"/>
  <c r="F12" i="49" s="1"/>
  <c r="I12" i="49" s="1"/>
  <c r="F11" i="49"/>
  <c r="H10" i="49"/>
  <c r="J10" i="49" s="1"/>
  <c r="L10" i="49" s="1"/>
  <c r="M10" i="49" s="1"/>
  <c r="C12" i="49"/>
  <c r="E11" i="49"/>
  <c r="AD11" i="47"/>
  <c r="AD13" i="47" s="1"/>
  <c r="AB12" i="47"/>
  <c r="S12" i="47"/>
  <c r="S13" i="47" s="1"/>
  <c r="W11" i="47"/>
  <c r="W13" i="47" s="1"/>
  <c r="X13" i="47"/>
  <c r="T13" i="47"/>
  <c r="K12" i="49" l="1"/>
  <c r="H11" i="49"/>
  <c r="J11" i="49" s="1"/>
  <c r="C13" i="49"/>
  <c r="E12" i="49"/>
  <c r="E13" i="49" s="1"/>
  <c r="I11" i="49"/>
  <c r="F13" i="49"/>
  <c r="AA11" i="47"/>
  <c r="AA12" i="47"/>
  <c r="AB13" i="47"/>
  <c r="K11" i="49" l="1"/>
  <c r="I13" i="49"/>
  <c r="H12" i="49"/>
  <c r="H13" i="49" s="1"/>
  <c r="AA13" i="47"/>
  <c r="J12" i="49" l="1"/>
  <c r="L11" i="49"/>
  <c r="M11" i="49" s="1"/>
  <c r="K13" i="49"/>
  <c r="E2" i="18"/>
  <c r="J13" i="49" l="1"/>
  <c r="L13" i="49" s="1"/>
  <c r="M13" i="49" s="1"/>
  <c r="L12" i="49"/>
  <c r="M12" i="49" s="1"/>
  <c r="N13" i="49" s="1"/>
  <c r="S2" i="18"/>
  <c r="T2" i="18" s="1"/>
  <c r="R2" i="18"/>
  <c r="O2" i="18"/>
  <c r="P2" i="18" s="1"/>
  <c r="N2" i="18"/>
  <c r="K2" i="18"/>
  <c r="L2" i="18" s="1"/>
  <c r="J2" i="18"/>
  <c r="G2" i="18"/>
  <c r="H2" i="18" s="1"/>
  <c r="F2" i="18"/>
  <c r="D2" i="18"/>
  <c r="C2" i="18"/>
  <c r="B2" i="18"/>
  <c r="U5" i="18"/>
  <c r="U6" i="18"/>
  <c r="U7" i="18"/>
  <c r="U8" i="18"/>
  <c r="U9" i="18"/>
  <c r="U10" i="18"/>
  <c r="U11" i="18"/>
  <c r="U12" i="18"/>
  <c r="U13" i="18"/>
  <c r="U14" i="18"/>
  <c r="U15" i="18"/>
  <c r="U16" i="18"/>
  <c r="U17" i="18"/>
  <c r="U18" i="18"/>
  <c r="U4" i="18"/>
  <c r="Q5" i="18"/>
  <c r="Q6" i="18"/>
  <c r="Q7" i="18"/>
  <c r="Q8" i="18"/>
  <c r="Q9" i="18"/>
  <c r="Q10" i="18"/>
  <c r="Q11" i="18"/>
  <c r="Q12" i="18"/>
  <c r="Q13" i="18"/>
  <c r="Q14" i="18"/>
  <c r="Q15" i="18"/>
  <c r="Q16" i="18"/>
  <c r="Q17" i="18"/>
  <c r="Q18" i="18"/>
  <c r="Q4" i="18"/>
  <c r="M5" i="18"/>
  <c r="M6" i="18"/>
  <c r="M7" i="18"/>
  <c r="M8" i="18"/>
  <c r="M9" i="18"/>
  <c r="M10" i="18"/>
  <c r="M11" i="18"/>
  <c r="M12" i="18"/>
  <c r="M13" i="18"/>
  <c r="M14" i="18"/>
  <c r="M15" i="18"/>
  <c r="M16" i="18"/>
  <c r="M17" i="18"/>
  <c r="M18" i="18"/>
  <c r="M4" i="18"/>
  <c r="U3" i="18"/>
  <c r="Q3" i="18"/>
  <c r="M3" i="18"/>
  <c r="I4" i="18"/>
  <c r="I5" i="18"/>
  <c r="I6" i="18"/>
  <c r="I7" i="18"/>
  <c r="I8" i="18"/>
  <c r="I9" i="18"/>
  <c r="I10" i="18"/>
  <c r="I11" i="18"/>
  <c r="I12" i="18"/>
  <c r="I13" i="18"/>
  <c r="I14" i="18"/>
  <c r="I15" i="18"/>
  <c r="I16" i="18"/>
  <c r="I17" i="18"/>
  <c r="I18" i="18"/>
  <c r="I3" i="18"/>
  <c r="U2" i="18" l="1"/>
  <c r="I2" i="18"/>
  <c r="Q2" i="18"/>
  <c r="M2" i="18"/>
  <c r="C6" i="5" l="1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5" i="5"/>
  <c r="C4" i="14" l="1"/>
  <c r="D4" i="14"/>
  <c r="E4" i="14"/>
  <c r="F4" i="14"/>
  <c r="G4" i="14"/>
  <c r="H4" i="14"/>
  <c r="I4" i="14"/>
  <c r="J4" i="14"/>
  <c r="K4" i="14"/>
  <c r="L4" i="14"/>
  <c r="M4" i="14"/>
  <c r="N4" i="14"/>
  <c r="O4" i="14"/>
  <c r="P4" i="14"/>
  <c r="Q4" i="14"/>
  <c r="R4" i="14"/>
  <c r="S4" i="14"/>
  <c r="T4" i="14"/>
  <c r="U4" i="14"/>
  <c r="V4" i="14"/>
  <c r="W4" i="14"/>
  <c r="X4" i="14"/>
  <c r="Y4" i="14"/>
  <c r="B4" i="14"/>
  <c r="F4" i="41" l="1"/>
  <c r="Z5" i="14"/>
  <c r="AA5" i="14"/>
  <c r="AA8" i="14"/>
  <c r="Z8" i="14"/>
  <c r="AA7" i="14"/>
  <c r="Z7" i="14"/>
  <c r="AA6" i="14"/>
  <c r="Z6" i="14"/>
  <c r="H5" i="41" l="1"/>
  <c r="H6" i="41" s="1"/>
  <c r="H7" i="41" s="1"/>
  <c r="H8" i="41" s="1"/>
  <c r="H9" i="41" s="1"/>
  <c r="H10" i="41" s="1"/>
  <c r="H11" i="41" s="1"/>
  <c r="H12" i="41" s="1"/>
  <c r="H13" i="41" s="1"/>
  <c r="H14" i="41" s="1"/>
  <c r="H15" i="41" s="1"/>
  <c r="H16" i="41" s="1"/>
  <c r="H17" i="41" s="1"/>
  <c r="H18" i="41" s="1"/>
  <c r="H19" i="41" s="1"/>
  <c r="H20" i="41" s="1"/>
  <c r="I5" i="41"/>
  <c r="I6" i="41" s="1"/>
  <c r="I7" i="41" s="1"/>
  <c r="I8" i="41" s="1"/>
  <c r="I9" i="41" s="1"/>
  <c r="I10" i="41" s="1"/>
  <c r="I11" i="41" s="1"/>
  <c r="I12" i="41" s="1"/>
  <c r="I13" i="41" s="1"/>
  <c r="I14" i="41" s="1"/>
  <c r="I15" i="41" s="1"/>
  <c r="I16" i="41" s="1"/>
  <c r="I17" i="41" s="1"/>
  <c r="I18" i="41" s="1"/>
  <c r="I19" i="41" s="1"/>
  <c r="I20" i="41" s="1"/>
  <c r="K5" i="41"/>
  <c r="K6" i="41" s="1"/>
  <c r="K7" i="41" s="1"/>
  <c r="K8" i="41" s="1"/>
  <c r="K9" i="41" s="1"/>
  <c r="K10" i="41" s="1"/>
  <c r="K11" i="41" s="1"/>
  <c r="K12" i="41" s="1"/>
  <c r="K13" i="41" s="1"/>
  <c r="K14" i="41" s="1"/>
  <c r="K15" i="41" s="1"/>
  <c r="K16" i="41" s="1"/>
  <c r="K17" i="41" s="1"/>
  <c r="K18" i="41" s="1"/>
  <c r="K19" i="41" s="1"/>
  <c r="K20" i="41" s="1"/>
  <c r="J5" i="41"/>
  <c r="J6" i="41" s="1"/>
  <c r="J7" i="41" s="1"/>
  <c r="J8" i="41" s="1"/>
  <c r="J9" i="41" s="1"/>
  <c r="J10" i="41" s="1"/>
  <c r="J11" i="41" s="1"/>
  <c r="J12" i="41" s="1"/>
  <c r="J13" i="41" s="1"/>
  <c r="J14" i="41" s="1"/>
  <c r="J15" i="41" s="1"/>
  <c r="J16" i="41" s="1"/>
  <c r="J17" i="41" s="1"/>
  <c r="J18" i="41" s="1"/>
  <c r="J19" i="41" s="1"/>
  <c r="J20" i="41" s="1"/>
  <c r="F5" i="41"/>
  <c r="F6" i="41" s="1"/>
  <c r="F7" i="41" s="1"/>
  <c r="F8" i="41" s="1"/>
  <c r="F9" i="41" s="1"/>
  <c r="F10" i="41" s="1"/>
  <c r="F11" i="41" s="1"/>
  <c r="F12" i="41" s="1"/>
  <c r="F13" i="41" s="1"/>
  <c r="F14" i="41" s="1"/>
  <c r="F15" i="41" s="1"/>
  <c r="F16" i="41" s="1"/>
  <c r="F17" i="41" s="1"/>
  <c r="F18" i="41" s="1"/>
  <c r="F19" i="41" s="1"/>
  <c r="F20" i="41" s="1"/>
  <c r="G5" i="41"/>
  <c r="G6" i="41" s="1"/>
  <c r="G7" i="41" s="1"/>
  <c r="G8" i="41" s="1"/>
  <c r="G9" i="41" s="1"/>
  <c r="G10" i="41" s="1"/>
  <c r="G11" i="41" s="1"/>
  <c r="G12" i="41" s="1"/>
  <c r="G13" i="41" s="1"/>
  <c r="G14" i="41" s="1"/>
  <c r="G15" i="41" s="1"/>
  <c r="G16" i="41" s="1"/>
  <c r="G17" i="41" s="1"/>
  <c r="G18" i="41" s="1"/>
  <c r="G19" i="41" s="1"/>
  <c r="G20" i="41" s="1"/>
  <c r="AA4" i="14"/>
  <c r="Z4" i="14"/>
  <c r="Z6" i="2" l="1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5" i="2"/>
  <c r="P21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5" i="2"/>
  <c r="O21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5" i="2"/>
  <c r="N21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5" i="2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5" i="6"/>
  <c r="AT6" i="2"/>
  <c r="AT7" i="2"/>
  <c r="AT8" i="2"/>
  <c r="AT9" i="2"/>
  <c r="AT10" i="2"/>
  <c r="AT11" i="2"/>
  <c r="AT12" i="2"/>
  <c r="AT13" i="2"/>
  <c r="AT14" i="2"/>
  <c r="AT15" i="2"/>
  <c r="AT16" i="2"/>
  <c r="AT17" i="2"/>
  <c r="AT18" i="2"/>
  <c r="AT19" i="2"/>
  <c r="AT20" i="2"/>
  <c r="AT21" i="2"/>
  <c r="AS21" i="2"/>
  <c r="AS6" i="2"/>
  <c r="AS7" i="2"/>
  <c r="AS8" i="2"/>
  <c r="AS9" i="2"/>
  <c r="AS10" i="2"/>
  <c r="AS11" i="2"/>
  <c r="AS12" i="2"/>
  <c r="AS13" i="2"/>
  <c r="AS14" i="2"/>
  <c r="AS15" i="2"/>
  <c r="AS16" i="2"/>
  <c r="AS17" i="2"/>
  <c r="AS18" i="2"/>
  <c r="AS19" i="2"/>
  <c r="AS20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T5" i="2"/>
  <c r="AS5" i="2"/>
  <c r="AR5" i="2"/>
  <c r="AQ5" i="2"/>
  <c r="AP5" i="2"/>
  <c r="AJ6" i="2"/>
  <c r="AJ7" i="2"/>
  <c r="AJ8" i="2"/>
  <c r="AJ9" i="2"/>
  <c r="AJ10" i="2"/>
  <c r="AJ11" i="2"/>
  <c r="AJ12" i="2"/>
  <c r="AJ13" i="2"/>
  <c r="AJ14" i="2"/>
  <c r="AJ15" i="2"/>
  <c r="AJ16" i="2"/>
  <c r="AJ17" i="2"/>
  <c r="AJ18" i="2"/>
  <c r="AJ19" i="2"/>
  <c r="AJ20" i="2"/>
  <c r="AJ21" i="2"/>
  <c r="AI6" i="2"/>
  <c r="Q6" i="5" s="1"/>
  <c r="AI7" i="2"/>
  <c r="AI8" i="2"/>
  <c r="AI9" i="2"/>
  <c r="AI10" i="2"/>
  <c r="AI11" i="2"/>
  <c r="AI12" i="2"/>
  <c r="AI13" i="2"/>
  <c r="AI14" i="2"/>
  <c r="Q14" i="5" s="1"/>
  <c r="AI15" i="2"/>
  <c r="AI16" i="2"/>
  <c r="AI17" i="2"/>
  <c r="AI18" i="2"/>
  <c r="AI19" i="2"/>
  <c r="AI20" i="2"/>
  <c r="AI21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G6" i="2"/>
  <c r="AG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J5" i="2"/>
  <c r="AI5" i="2"/>
  <c r="AH5" i="2"/>
  <c r="AG5" i="2"/>
  <c r="AF5" i="2"/>
  <c r="Q20" i="5" l="1"/>
  <c r="Q12" i="5"/>
  <c r="R15" i="5"/>
  <c r="R7" i="5"/>
  <c r="P16" i="5"/>
  <c r="P8" i="5"/>
  <c r="R16" i="5"/>
  <c r="R8" i="5"/>
  <c r="Q15" i="5"/>
  <c r="Q7" i="5"/>
  <c r="R14" i="5"/>
  <c r="R6" i="5"/>
  <c r="Q21" i="5"/>
  <c r="Q13" i="5"/>
  <c r="R21" i="5"/>
  <c r="R13" i="5"/>
  <c r="Q19" i="6"/>
  <c r="R17" i="5"/>
  <c r="R9" i="5"/>
  <c r="Q16" i="5"/>
  <c r="Q8" i="5"/>
  <c r="AU20" i="2"/>
  <c r="AU12" i="2"/>
  <c r="AV20" i="2"/>
  <c r="AV12" i="2"/>
  <c r="AW20" i="2"/>
  <c r="AW12" i="2"/>
  <c r="AX19" i="2"/>
  <c r="AX11" i="2"/>
  <c r="AY20" i="2"/>
  <c r="AY12" i="2"/>
  <c r="R19" i="5"/>
  <c r="R11" i="5"/>
  <c r="P18" i="5"/>
  <c r="P10" i="5"/>
  <c r="Q18" i="5"/>
  <c r="Q10" i="5"/>
  <c r="R18" i="5"/>
  <c r="R10" i="5"/>
  <c r="Q17" i="5"/>
  <c r="Q9" i="5"/>
  <c r="AU19" i="2"/>
  <c r="AU11" i="2"/>
  <c r="AV19" i="2"/>
  <c r="AV11" i="2"/>
  <c r="AW19" i="2"/>
  <c r="AW11" i="2"/>
  <c r="AX18" i="2"/>
  <c r="AX10" i="2"/>
  <c r="AY19" i="2"/>
  <c r="AY11" i="2"/>
  <c r="AU5" i="2"/>
  <c r="AU18" i="2"/>
  <c r="AU10" i="2"/>
  <c r="AV18" i="2"/>
  <c r="AV10" i="2"/>
  <c r="AW18" i="2"/>
  <c r="AW10" i="2"/>
  <c r="AX17" i="2"/>
  <c r="AX9" i="2"/>
  <c r="AY18" i="2"/>
  <c r="AY10" i="2"/>
  <c r="Q11" i="6"/>
  <c r="P20" i="5"/>
  <c r="P12" i="5"/>
  <c r="R20" i="5"/>
  <c r="R12" i="5"/>
  <c r="AV5" i="2"/>
  <c r="AU17" i="2"/>
  <c r="AU9" i="2"/>
  <c r="AV17" i="2"/>
  <c r="AV9" i="2"/>
  <c r="AW17" i="2"/>
  <c r="AW9" i="2"/>
  <c r="AX16" i="2"/>
  <c r="AX8" i="2"/>
  <c r="AY17" i="2"/>
  <c r="AY9" i="2"/>
  <c r="Q19" i="5"/>
  <c r="Q11" i="5"/>
  <c r="AW5" i="2"/>
  <c r="AU16" i="2"/>
  <c r="AU8" i="2"/>
  <c r="AV16" i="2"/>
  <c r="AV8" i="2"/>
  <c r="AW16" i="2"/>
  <c r="AW8" i="2"/>
  <c r="AX15" i="2"/>
  <c r="AX7" i="2"/>
  <c r="AY16" i="2"/>
  <c r="AY8" i="2"/>
  <c r="AX5" i="2"/>
  <c r="AU15" i="2"/>
  <c r="AU7" i="2"/>
  <c r="AV15" i="2"/>
  <c r="AV7" i="2"/>
  <c r="AW15" i="2"/>
  <c r="AW7" i="2"/>
  <c r="AX14" i="2"/>
  <c r="X14" i="5" s="1"/>
  <c r="AX6" i="2"/>
  <c r="X6" i="5" s="1"/>
  <c r="E5" i="41" s="1"/>
  <c r="O5" i="41" s="1"/>
  <c r="AY15" i="2"/>
  <c r="AY7" i="2"/>
  <c r="AY5" i="2"/>
  <c r="AU14" i="2"/>
  <c r="AU6" i="2"/>
  <c r="AV14" i="2"/>
  <c r="AV6" i="2"/>
  <c r="AW14" i="2"/>
  <c r="AW6" i="2"/>
  <c r="AX13" i="2"/>
  <c r="X13" i="5" s="1"/>
  <c r="AX21" i="2"/>
  <c r="AY14" i="2"/>
  <c r="AY6" i="2"/>
  <c r="Q15" i="6"/>
  <c r="Q7" i="6"/>
  <c r="AU21" i="2"/>
  <c r="AU13" i="2"/>
  <c r="AV21" i="2"/>
  <c r="AV13" i="2"/>
  <c r="AW21" i="2"/>
  <c r="AW13" i="2"/>
  <c r="AX20" i="2"/>
  <c r="X20" i="5" s="1"/>
  <c r="AX12" i="2"/>
  <c r="X12" i="5" s="1"/>
  <c r="AY21" i="2"/>
  <c r="AY13" i="2"/>
  <c r="P19" i="5"/>
  <c r="W19" i="5" s="1"/>
  <c r="P15" i="5"/>
  <c r="P11" i="5"/>
  <c r="P7" i="5"/>
  <c r="P14" i="5"/>
  <c r="P6" i="5"/>
  <c r="P21" i="5"/>
  <c r="P17" i="5"/>
  <c r="P13" i="5"/>
  <c r="P9" i="5"/>
  <c r="Q5" i="6"/>
  <c r="Q18" i="6"/>
  <c r="Q14" i="6"/>
  <c r="Q10" i="6"/>
  <c r="Q6" i="6"/>
  <c r="Q20" i="6"/>
  <c r="Q16" i="6"/>
  <c r="Q12" i="6"/>
  <c r="Q8" i="6"/>
  <c r="Q21" i="6"/>
  <c r="Q17" i="6"/>
  <c r="Q13" i="6"/>
  <c r="Q9" i="6"/>
  <c r="Y7" i="5" l="1"/>
  <c r="Y11" i="5"/>
  <c r="O8" i="5"/>
  <c r="S8" i="5" s="1"/>
  <c r="Y13" i="5"/>
  <c r="Y6" i="5"/>
  <c r="Y8" i="5"/>
  <c r="Y16" i="5"/>
  <c r="Y9" i="5"/>
  <c r="Y15" i="5"/>
  <c r="W16" i="5"/>
  <c r="D15" i="41" s="1"/>
  <c r="N15" i="41" s="1"/>
  <c r="Y14" i="5"/>
  <c r="W9" i="5"/>
  <c r="D8" i="41" s="1"/>
  <c r="N8" i="41" s="1"/>
  <c r="X7" i="5"/>
  <c r="E6" i="41" s="1"/>
  <c r="O6" i="41" s="1"/>
  <c r="Y17" i="5"/>
  <c r="O16" i="5"/>
  <c r="N16" i="5" s="1"/>
  <c r="X15" i="5"/>
  <c r="E14" i="41" s="1"/>
  <c r="O14" i="41" s="1"/>
  <c r="X8" i="5"/>
  <c r="E7" i="41" s="1"/>
  <c r="O7" i="41" s="1"/>
  <c r="X21" i="5"/>
  <c r="E20" i="41" s="1"/>
  <c r="O20" i="41" s="1"/>
  <c r="W8" i="5"/>
  <c r="X16" i="5"/>
  <c r="W11" i="5"/>
  <c r="D10" i="41" s="1"/>
  <c r="N10" i="41" s="1"/>
  <c r="Y21" i="5"/>
  <c r="Y12" i="5"/>
  <c r="Y20" i="5"/>
  <c r="W20" i="5"/>
  <c r="D19" i="41" s="1"/>
  <c r="N19" i="41" s="1"/>
  <c r="W17" i="5"/>
  <c r="D16" i="41" s="1"/>
  <c r="N16" i="41" s="1"/>
  <c r="W15" i="5"/>
  <c r="D14" i="41" s="1"/>
  <c r="N14" i="41" s="1"/>
  <c r="AB5" i="41"/>
  <c r="V5" i="41"/>
  <c r="D18" i="41"/>
  <c r="N18" i="41" s="1"/>
  <c r="E13" i="41"/>
  <c r="O13" i="41" s="1"/>
  <c r="E15" i="41"/>
  <c r="O15" i="41" s="1"/>
  <c r="E19" i="41"/>
  <c r="O19" i="41" s="1"/>
  <c r="E11" i="41"/>
  <c r="O11" i="41" s="1"/>
  <c r="D7" i="41"/>
  <c r="N7" i="41" s="1"/>
  <c r="Q5" i="5"/>
  <c r="R5" i="5"/>
  <c r="W7" i="5"/>
  <c r="E12" i="41"/>
  <c r="O12" i="41" s="1"/>
  <c r="P5" i="5"/>
  <c r="X18" i="5"/>
  <c r="W10" i="5"/>
  <c r="W18" i="5"/>
  <c r="Y19" i="5"/>
  <c r="Y10" i="5"/>
  <c r="W21" i="5"/>
  <c r="O20" i="5"/>
  <c r="S20" i="5" s="1"/>
  <c r="W12" i="5"/>
  <c r="X9" i="5"/>
  <c r="X17" i="5"/>
  <c r="O7" i="5"/>
  <c r="S7" i="5" s="1"/>
  <c r="Y18" i="5"/>
  <c r="O15" i="5"/>
  <c r="S15" i="5" s="1"/>
  <c r="X10" i="5"/>
  <c r="W14" i="5"/>
  <c r="W6" i="5"/>
  <c r="D5" i="41" s="1"/>
  <c r="N5" i="41" s="1"/>
  <c r="X11" i="5"/>
  <c r="O10" i="5"/>
  <c r="O18" i="5"/>
  <c r="X19" i="5"/>
  <c r="O12" i="5"/>
  <c r="W13" i="5"/>
  <c r="O19" i="5"/>
  <c r="O11" i="5"/>
  <c r="O21" i="5"/>
  <c r="O13" i="5"/>
  <c r="O9" i="5"/>
  <c r="O14" i="5"/>
  <c r="O6" i="5"/>
  <c r="O17" i="5"/>
  <c r="N8" i="5" l="1"/>
  <c r="V8" i="5" s="1"/>
  <c r="S16" i="5"/>
  <c r="N20" i="5"/>
  <c r="V20" i="5" s="1"/>
  <c r="T20" i="5" s="1"/>
  <c r="AF5" i="41"/>
  <c r="AA5" i="41"/>
  <c r="U5" i="41"/>
  <c r="AB11" i="41"/>
  <c r="AL11" i="41" s="1"/>
  <c r="V11" i="41"/>
  <c r="AB13" i="41"/>
  <c r="AL13" i="41" s="1"/>
  <c r="V13" i="41"/>
  <c r="D12" i="41"/>
  <c r="N12" i="41" s="1"/>
  <c r="E16" i="41"/>
  <c r="O16" i="41" s="1"/>
  <c r="D17" i="41"/>
  <c r="N17" i="41" s="1"/>
  <c r="AB12" i="41"/>
  <c r="AL12" i="41" s="1"/>
  <c r="V12" i="41"/>
  <c r="AB20" i="41"/>
  <c r="AL20" i="41" s="1"/>
  <c r="V20" i="41"/>
  <c r="AA15" i="41"/>
  <c r="AK15" i="41" s="1"/>
  <c r="U15" i="41"/>
  <c r="D13" i="41"/>
  <c r="N13" i="41" s="1"/>
  <c r="E8" i="41"/>
  <c r="O8" i="41" s="1"/>
  <c r="D9" i="41"/>
  <c r="N9" i="41" s="1"/>
  <c r="AB19" i="41"/>
  <c r="AL19" i="41" s="1"/>
  <c r="V19" i="41"/>
  <c r="AA18" i="41"/>
  <c r="AK18" i="41" s="1"/>
  <c r="U18" i="41"/>
  <c r="E18" i="41"/>
  <c r="O18" i="41" s="1"/>
  <c r="E17" i="41"/>
  <c r="O17" i="41" s="1"/>
  <c r="D6" i="41"/>
  <c r="N6" i="41" s="1"/>
  <c r="AA10" i="41"/>
  <c r="AK10" i="41" s="1"/>
  <c r="U10" i="41"/>
  <c r="D11" i="41"/>
  <c r="N11" i="41" s="1"/>
  <c r="AA8" i="41"/>
  <c r="AK8" i="41" s="1"/>
  <c r="U8" i="41"/>
  <c r="AB6" i="41"/>
  <c r="AL6" i="41" s="1"/>
  <c r="V6" i="41"/>
  <c r="AA16" i="41"/>
  <c r="AK16" i="41" s="1"/>
  <c r="U16" i="41"/>
  <c r="AB7" i="41"/>
  <c r="AL7" i="41" s="1"/>
  <c r="V7" i="41"/>
  <c r="E9" i="41"/>
  <c r="O9" i="41" s="1"/>
  <c r="AA19" i="41"/>
  <c r="AK19" i="41" s="1"/>
  <c r="U19" i="41"/>
  <c r="D20" i="41"/>
  <c r="N20" i="41" s="1"/>
  <c r="AA14" i="41"/>
  <c r="AK14" i="41" s="1"/>
  <c r="U14" i="41"/>
  <c r="AA7" i="41"/>
  <c r="AK7" i="41" s="1"/>
  <c r="U7" i="41"/>
  <c r="AB15" i="41"/>
  <c r="AL15" i="41" s="1"/>
  <c r="V15" i="41"/>
  <c r="E10" i="41"/>
  <c r="O10" i="41" s="1"/>
  <c r="AB14" i="41"/>
  <c r="AL14" i="41" s="1"/>
  <c r="V14" i="41"/>
  <c r="AL5" i="41"/>
  <c r="W5" i="5"/>
  <c r="X5" i="5"/>
  <c r="Y5" i="5"/>
  <c r="O5" i="5"/>
  <c r="S5" i="5" s="1"/>
  <c r="N15" i="5"/>
  <c r="N7" i="5"/>
  <c r="V16" i="5"/>
  <c r="N9" i="5"/>
  <c r="S9" i="5"/>
  <c r="N21" i="5"/>
  <c r="S21" i="5"/>
  <c r="N12" i="5"/>
  <c r="S12" i="5"/>
  <c r="N11" i="5"/>
  <c r="S11" i="5"/>
  <c r="N17" i="5"/>
  <c r="S17" i="5"/>
  <c r="N19" i="5"/>
  <c r="S19" i="5"/>
  <c r="N6" i="5"/>
  <c r="S6" i="5"/>
  <c r="N18" i="5"/>
  <c r="S18" i="5"/>
  <c r="N13" i="5"/>
  <c r="S13" i="5"/>
  <c r="N14" i="5"/>
  <c r="S14" i="5"/>
  <c r="N10" i="5"/>
  <c r="S10" i="5"/>
  <c r="N5" i="5" l="1"/>
  <c r="AF15" i="41"/>
  <c r="AE19" i="41"/>
  <c r="AF6" i="41"/>
  <c r="AF19" i="41"/>
  <c r="AE15" i="41"/>
  <c r="AF12" i="41"/>
  <c r="AF13" i="41"/>
  <c r="AE5" i="41"/>
  <c r="AE16" i="41"/>
  <c r="AE10" i="41"/>
  <c r="AE18" i="41"/>
  <c r="AF11" i="41"/>
  <c r="AE7" i="41"/>
  <c r="AE8" i="41"/>
  <c r="AF20" i="41"/>
  <c r="AB9" i="41"/>
  <c r="AL9" i="41" s="1"/>
  <c r="V9" i="41"/>
  <c r="AB17" i="41"/>
  <c r="AL17" i="41" s="1"/>
  <c r="V17" i="41"/>
  <c r="AA9" i="41"/>
  <c r="AK9" i="41" s="1"/>
  <c r="U9" i="41"/>
  <c r="AA12" i="41"/>
  <c r="AK12" i="41" s="1"/>
  <c r="U12" i="41"/>
  <c r="AV5" i="41"/>
  <c r="AP5" i="41"/>
  <c r="AU7" i="41"/>
  <c r="AY7" i="41" s="1"/>
  <c r="BE7" i="41" s="1"/>
  <c r="AO7" i="41"/>
  <c r="AU8" i="41"/>
  <c r="AY8" i="41" s="1"/>
  <c r="BE8" i="41" s="1"/>
  <c r="AO8" i="41"/>
  <c r="AV20" i="41"/>
  <c r="AZ20" i="41" s="1"/>
  <c r="BF20" i="41" s="1"/>
  <c r="AP20" i="41"/>
  <c r="U20" i="5"/>
  <c r="C19" i="41"/>
  <c r="AF14" i="41"/>
  <c r="AE14" i="41"/>
  <c r="AF7" i="41"/>
  <c r="AA11" i="41"/>
  <c r="AK11" i="41" s="1"/>
  <c r="U11" i="41"/>
  <c r="AB18" i="41"/>
  <c r="AL18" i="41" s="1"/>
  <c r="V18" i="41"/>
  <c r="AB8" i="41"/>
  <c r="AL8" i="41" s="1"/>
  <c r="V8" i="41"/>
  <c r="E4" i="41"/>
  <c r="O4" i="41" s="1"/>
  <c r="V4" i="41" s="1"/>
  <c r="AV14" i="41"/>
  <c r="AZ14" i="41" s="1"/>
  <c r="BF14" i="41" s="1"/>
  <c r="AP14" i="41"/>
  <c r="AO14" i="41"/>
  <c r="AU14" i="41"/>
  <c r="AV7" i="41"/>
  <c r="AZ7" i="41" s="1"/>
  <c r="BF7" i="41" s="1"/>
  <c r="AP7" i="41"/>
  <c r="AV12" i="41"/>
  <c r="AZ12" i="41" s="1"/>
  <c r="BF12" i="41" s="1"/>
  <c r="AP12" i="41"/>
  <c r="AV13" i="41"/>
  <c r="AZ13" i="41" s="1"/>
  <c r="BF13" i="41" s="1"/>
  <c r="AP13" i="41"/>
  <c r="C7" i="41"/>
  <c r="AB10" i="41"/>
  <c r="AL10" i="41" s="1"/>
  <c r="V10" i="41"/>
  <c r="AA20" i="41"/>
  <c r="AK20" i="41" s="1"/>
  <c r="U20" i="41"/>
  <c r="AA13" i="41"/>
  <c r="AK13" i="41" s="1"/>
  <c r="U13" i="41"/>
  <c r="AA17" i="41"/>
  <c r="AK17" i="41" s="1"/>
  <c r="U17" i="41"/>
  <c r="C15" i="41"/>
  <c r="D4" i="41"/>
  <c r="N4" i="41" s="1"/>
  <c r="U4" i="41" s="1"/>
  <c r="AU16" i="41"/>
  <c r="AY16" i="41" s="1"/>
  <c r="BE16" i="41" s="1"/>
  <c r="AO16" i="41"/>
  <c r="AU10" i="41"/>
  <c r="AY10" i="41" s="1"/>
  <c r="BE10" i="41" s="1"/>
  <c r="AO10" i="41"/>
  <c r="AU18" i="41"/>
  <c r="AY18" i="41" s="1"/>
  <c r="BE18" i="41" s="1"/>
  <c r="AO18" i="41"/>
  <c r="AV11" i="41"/>
  <c r="AZ11" i="41" s="1"/>
  <c r="BF11" i="41" s="1"/>
  <c r="AP11" i="41"/>
  <c r="AA6" i="41"/>
  <c r="AK6" i="41" s="1"/>
  <c r="U6" i="41"/>
  <c r="AB16" i="41"/>
  <c r="AL16" i="41" s="1"/>
  <c r="V16" i="41"/>
  <c r="AV15" i="41"/>
  <c r="AZ15" i="41" s="1"/>
  <c r="BF15" i="41" s="1"/>
  <c r="AP15" i="41"/>
  <c r="AU19" i="41"/>
  <c r="AY19" i="41" s="1"/>
  <c r="BE19" i="41" s="1"/>
  <c r="AO19" i="41"/>
  <c r="AV6" i="41"/>
  <c r="AZ6" i="41" s="1"/>
  <c r="BF6" i="41" s="1"/>
  <c r="AP6" i="41"/>
  <c r="AV19" i="41"/>
  <c r="AZ19" i="41" s="1"/>
  <c r="BF19" i="41" s="1"/>
  <c r="AP19" i="41"/>
  <c r="AU15" i="41"/>
  <c r="AY15" i="41" s="1"/>
  <c r="BE15" i="41" s="1"/>
  <c r="AO15" i="41"/>
  <c r="AK5" i="41"/>
  <c r="T8" i="5"/>
  <c r="U8" i="5"/>
  <c r="V7" i="5"/>
  <c r="C6" i="41" s="1"/>
  <c r="V15" i="5"/>
  <c r="U15" i="5" s="1"/>
  <c r="U16" i="5"/>
  <c r="T16" i="5"/>
  <c r="V13" i="5"/>
  <c r="V17" i="5"/>
  <c r="V18" i="5"/>
  <c r="C17" i="41" s="1"/>
  <c r="V11" i="5"/>
  <c r="V9" i="5"/>
  <c r="C8" i="41" s="1"/>
  <c r="V10" i="5"/>
  <c r="V6" i="5"/>
  <c r="C5" i="41" s="1"/>
  <c r="V12" i="5"/>
  <c r="V14" i="5"/>
  <c r="C13" i="41" s="1"/>
  <c r="V19" i="5"/>
  <c r="C18" i="41" s="1"/>
  <c r="V21" i="5"/>
  <c r="C20" i="41" s="1"/>
  <c r="C10" i="41" l="1"/>
  <c r="M10" i="41" s="1"/>
  <c r="U11" i="5"/>
  <c r="AF8" i="41"/>
  <c r="T6" i="5"/>
  <c r="U7" i="5"/>
  <c r="AF10" i="41"/>
  <c r="AF18" i="41"/>
  <c r="T7" i="5"/>
  <c r="AE17" i="41"/>
  <c r="AF16" i="41"/>
  <c r="AF17" i="41"/>
  <c r="AF9" i="41"/>
  <c r="AE20" i="41"/>
  <c r="AE9" i="41"/>
  <c r="AU6" i="41"/>
  <c r="AY6" i="41" s="1"/>
  <c r="BE6" i="41" s="1"/>
  <c r="AO6" i="41"/>
  <c r="AU13" i="41"/>
  <c r="AY13" i="41" s="1"/>
  <c r="BE13" i="41" s="1"/>
  <c r="AO13" i="41"/>
  <c r="AU11" i="41"/>
  <c r="AY11" i="41" s="1"/>
  <c r="BE11" i="41" s="1"/>
  <c r="AO11" i="41"/>
  <c r="AU12" i="41"/>
  <c r="AY12" i="41" s="1"/>
  <c r="BE12" i="41" s="1"/>
  <c r="AO12" i="41"/>
  <c r="M18" i="41"/>
  <c r="B18" i="41"/>
  <c r="U10" i="5"/>
  <c r="C9" i="41"/>
  <c r="T17" i="5"/>
  <c r="C16" i="41"/>
  <c r="AU20" i="41"/>
  <c r="AY20" i="41" s="1"/>
  <c r="BE20" i="41" s="1"/>
  <c r="AO20" i="41"/>
  <c r="AU9" i="41"/>
  <c r="AY9" i="41" s="1"/>
  <c r="BE9" i="41" s="1"/>
  <c r="AO9" i="41"/>
  <c r="M13" i="41"/>
  <c r="B13" i="41"/>
  <c r="M8" i="41"/>
  <c r="B8" i="41"/>
  <c r="M15" i="41"/>
  <c r="B15" i="41"/>
  <c r="T13" i="5"/>
  <c r="C12" i="41"/>
  <c r="AV10" i="41"/>
  <c r="AZ10" i="41" s="1"/>
  <c r="BF10" i="41" s="1"/>
  <c r="AP10" i="41"/>
  <c r="AV8" i="41"/>
  <c r="AZ8" i="41" s="1"/>
  <c r="BF8" i="41" s="1"/>
  <c r="AP8" i="41"/>
  <c r="M19" i="41"/>
  <c r="B19" i="41"/>
  <c r="AL4" i="41"/>
  <c r="AV17" i="41"/>
  <c r="AZ17" i="41" s="1"/>
  <c r="BF17" i="41" s="1"/>
  <c r="AP17" i="41"/>
  <c r="C14" i="41"/>
  <c r="M7" i="41"/>
  <c r="L7" i="41" s="1"/>
  <c r="B7" i="41"/>
  <c r="AY14" i="41"/>
  <c r="BE14" i="41" s="1"/>
  <c r="BI14" i="41" s="1"/>
  <c r="M6" i="41"/>
  <c r="B6" i="41"/>
  <c r="AA4" i="41"/>
  <c r="AV16" i="41"/>
  <c r="AZ16" i="41" s="1"/>
  <c r="BF16" i="41" s="1"/>
  <c r="AP16" i="41"/>
  <c r="AU17" i="41"/>
  <c r="AY17" i="41" s="1"/>
  <c r="BE17" i="41" s="1"/>
  <c r="AO17" i="41"/>
  <c r="AV18" i="41"/>
  <c r="AZ18" i="41" s="1"/>
  <c r="BF18" i="41" s="1"/>
  <c r="AP18" i="41"/>
  <c r="AZ5" i="41"/>
  <c r="BF5" i="41" s="1"/>
  <c r="AV9" i="41"/>
  <c r="AZ9" i="41" s="1"/>
  <c r="BF9" i="41" s="1"/>
  <c r="AP9" i="41"/>
  <c r="U12" i="5"/>
  <c r="C11" i="41"/>
  <c r="M20" i="41"/>
  <c r="B20" i="41"/>
  <c r="M5" i="41"/>
  <c r="B5" i="41"/>
  <c r="M17" i="41"/>
  <c r="B17" i="41"/>
  <c r="T15" i="5"/>
  <c r="AU5" i="41"/>
  <c r="AY5" i="41" s="1"/>
  <c r="AO5" i="41"/>
  <c r="AK4" i="41"/>
  <c r="AE6" i="41"/>
  <c r="AE13" i="41"/>
  <c r="AE11" i="41"/>
  <c r="AE12" i="41"/>
  <c r="AB4" i="41"/>
  <c r="BI10" i="41"/>
  <c r="BJ14" i="41"/>
  <c r="BJ19" i="41"/>
  <c r="BI15" i="41"/>
  <c r="BJ20" i="41"/>
  <c r="BI7" i="41"/>
  <c r="BJ11" i="41"/>
  <c r="BJ15" i="41"/>
  <c r="BI16" i="41"/>
  <c r="BJ6" i="41"/>
  <c r="BJ7" i="41"/>
  <c r="BI18" i="41"/>
  <c r="BJ13" i="41"/>
  <c r="U6" i="5"/>
  <c r="V5" i="5"/>
  <c r="U5" i="5" s="1"/>
  <c r="BI8" i="41"/>
  <c r="BJ12" i="41"/>
  <c r="BI19" i="41"/>
  <c r="U17" i="5"/>
  <c r="T10" i="5"/>
  <c r="U13" i="5"/>
  <c r="T21" i="5"/>
  <c r="U21" i="5"/>
  <c r="T19" i="5"/>
  <c r="U19" i="5"/>
  <c r="T12" i="5"/>
  <c r="T9" i="5"/>
  <c r="U9" i="5"/>
  <c r="T14" i="5"/>
  <c r="U14" i="5"/>
  <c r="T11" i="5"/>
  <c r="T18" i="5"/>
  <c r="U18" i="5"/>
  <c r="B10" i="41" l="1"/>
  <c r="T5" i="5"/>
  <c r="L19" i="41"/>
  <c r="L6" i="41"/>
  <c r="BI6" i="41"/>
  <c r="Z6" i="41"/>
  <c r="AJ6" i="41" s="1"/>
  <c r="T6" i="41"/>
  <c r="Z20" i="41"/>
  <c r="AJ20" i="41" s="1"/>
  <c r="T20" i="41"/>
  <c r="Z8" i="41"/>
  <c r="AJ8" i="41" s="1"/>
  <c r="T8" i="41"/>
  <c r="M11" i="41"/>
  <c r="B11" i="41"/>
  <c r="AU4" i="41"/>
  <c r="Z10" i="41"/>
  <c r="AJ10" i="41" s="1"/>
  <c r="T10" i="41"/>
  <c r="M16" i="41"/>
  <c r="B16" i="41"/>
  <c r="Z13" i="41"/>
  <c r="AJ13" i="41" s="1"/>
  <c r="T13" i="41"/>
  <c r="Z7" i="41"/>
  <c r="AJ7" i="41" s="1"/>
  <c r="T7" i="41"/>
  <c r="M12" i="41"/>
  <c r="B12" i="41"/>
  <c r="M9" i="41"/>
  <c r="B9" i="41"/>
  <c r="Z17" i="41"/>
  <c r="AJ17" i="41" s="1"/>
  <c r="T17" i="41"/>
  <c r="C4" i="41"/>
  <c r="AV4" i="41"/>
  <c r="Z5" i="41"/>
  <c r="T5" i="41"/>
  <c r="M14" i="41"/>
  <c r="B14" i="41"/>
  <c r="Z19" i="41"/>
  <c r="AJ19" i="41" s="1"/>
  <c r="T19" i="41"/>
  <c r="Z15" i="41"/>
  <c r="T15" i="41"/>
  <c r="L15" i="41"/>
  <c r="Z18" i="41"/>
  <c r="AJ18" i="41" s="1"/>
  <c r="T18" i="41"/>
  <c r="BF4" i="41"/>
  <c r="BJ9" i="41"/>
  <c r="BI11" i="41"/>
  <c r="BI13" i="41"/>
  <c r="BI9" i="41"/>
  <c r="AE4" i="41"/>
  <c r="BI20" i="41"/>
  <c r="AF4" i="41"/>
  <c r="BI12" i="41"/>
  <c r="L8" i="41"/>
  <c r="AP4" i="41"/>
  <c r="BI17" i="41"/>
  <c r="BJ18" i="41"/>
  <c r="AZ4" i="41"/>
  <c r="L10" i="41"/>
  <c r="L13" i="41"/>
  <c r="BJ8" i="41"/>
  <c r="BE5" i="41"/>
  <c r="BE4" i="41" s="1"/>
  <c r="AO4" i="41"/>
  <c r="L5" i="41"/>
  <c r="L17" i="41"/>
  <c r="L18" i="41"/>
  <c r="L20" i="41"/>
  <c r="BJ10" i="41"/>
  <c r="BJ17" i="41"/>
  <c r="BJ16" i="41"/>
  <c r="Y6" i="41" l="1"/>
  <c r="L11" i="41"/>
  <c r="AD18" i="41"/>
  <c r="AC18" i="41" s="1"/>
  <c r="AD17" i="41"/>
  <c r="AC17" i="41" s="1"/>
  <c r="AD13" i="41"/>
  <c r="AC13" i="41" s="1"/>
  <c r="AD5" i="41"/>
  <c r="AD20" i="41"/>
  <c r="AC20" i="41" s="1"/>
  <c r="AD15" i="41"/>
  <c r="AC15" i="41" s="1"/>
  <c r="AD10" i="41"/>
  <c r="AC10" i="41" s="1"/>
  <c r="AD8" i="41"/>
  <c r="AC8" i="41" s="1"/>
  <c r="AD6" i="41"/>
  <c r="AC6" i="41" s="1"/>
  <c r="Y7" i="41"/>
  <c r="AT19" i="41"/>
  <c r="AX19" i="41" s="1"/>
  <c r="AN19" i="41"/>
  <c r="AT7" i="41"/>
  <c r="AX7" i="41" s="1"/>
  <c r="AN7" i="41"/>
  <c r="AM7" i="41" s="1"/>
  <c r="AT18" i="41"/>
  <c r="AX18" i="41" s="1"/>
  <c r="AN18" i="41"/>
  <c r="Z11" i="41"/>
  <c r="AJ11" i="41" s="1"/>
  <c r="T11" i="41"/>
  <c r="Z14" i="41"/>
  <c r="T14" i="41"/>
  <c r="L14" i="41"/>
  <c r="AT17" i="41"/>
  <c r="AX17" i="41" s="1"/>
  <c r="AN17" i="41"/>
  <c r="AT13" i="41"/>
  <c r="AX13" i="41" s="1"/>
  <c r="AN13" i="41"/>
  <c r="AT8" i="41"/>
  <c r="AX8" i="41" s="1"/>
  <c r="AN8" i="41"/>
  <c r="AJ5" i="41"/>
  <c r="Z9" i="41"/>
  <c r="AJ9" i="41" s="1"/>
  <c r="T9" i="41"/>
  <c r="Z16" i="41"/>
  <c r="AJ16" i="41" s="1"/>
  <c r="T16" i="41"/>
  <c r="AT20" i="41"/>
  <c r="AX20" i="41" s="1"/>
  <c r="AN20" i="41"/>
  <c r="AJ15" i="41"/>
  <c r="Y15" i="41"/>
  <c r="Z12" i="41"/>
  <c r="AJ12" i="41" s="1"/>
  <c r="T12" i="41"/>
  <c r="AT10" i="41"/>
  <c r="AX10" i="41" s="1"/>
  <c r="AN10" i="41"/>
  <c r="Y19" i="41"/>
  <c r="AD19" i="41"/>
  <c r="AC19" i="41" s="1"/>
  <c r="M4" i="41"/>
  <c r="B4" i="41"/>
  <c r="AD7" i="41"/>
  <c r="AC7" i="41" s="1"/>
  <c r="AT6" i="41"/>
  <c r="AX6" i="41" s="1"/>
  <c r="AN6" i="41"/>
  <c r="Y5" i="41"/>
  <c r="Y10" i="41"/>
  <c r="AI6" i="41"/>
  <c r="Y18" i="41"/>
  <c r="L9" i="41"/>
  <c r="BJ5" i="41"/>
  <c r="BJ4" i="41" s="1"/>
  <c r="L16" i="41"/>
  <c r="L12" i="41"/>
  <c r="Y17" i="41"/>
  <c r="BI5" i="41"/>
  <c r="AY4" i="41"/>
  <c r="AI7" i="41"/>
  <c r="Y13" i="41"/>
  <c r="AI19" i="41"/>
  <c r="Y8" i="41"/>
  <c r="Y20" i="41"/>
  <c r="AM6" i="41" l="1"/>
  <c r="Y11" i="41"/>
  <c r="BI4" i="41"/>
  <c r="AD11" i="41"/>
  <c r="AC11" i="41" s="1"/>
  <c r="AD16" i="41"/>
  <c r="AC16" i="41" s="1"/>
  <c r="AD12" i="41"/>
  <c r="AC12" i="41" s="1"/>
  <c r="AD9" i="41"/>
  <c r="AC9" i="41" s="1"/>
  <c r="Z4" i="41"/>
  <c r="Y4" i="41" s="1"/>
  <c r="AD14" i="41"/>
  <c r="AC14" i="41" s="1"/>
  <c r="T4" i="41"/>
  <c r="L4" i="41"/>
  <c r="AT15" i="41"/>
  <c r="AN15" i="41"/>
  <c r="AI15" i="41"/>
  <c r="AT5" i="41"/>
  <c r="AN5" i="41"/>
  <c r="AJ14" i="41"/>
  <c r="AJ4" i="41" s="1"/>
  <c r="AI4" i="41" s="1"/>
  <c r="Y14" i="41"/>
  <c r="AT16" i="41"/>
  <c r="AX16" i="41" s="1"/>
  <c r="AN16" i="41"/>
  <c r="AT11" i="41"/>
  <c r="AX11" i="41" s="1"/>
  <c r="AN11" i="41"/>
  <c r="AT12" i="41"/>
  <c r="AX12" i="41" s="1"/>
  <c r="AN12" i="41"/>
  <c r="AT9" i="41"/>
  <c r="AX9" i="41" s="1"/>
  <c r="AN9" i="41"/>
  <c r="Y12" i="41"/>
  <c r="Y9" i="41"/>
  <c r="AI8" i="41"/>
  <c r="AM8" i="41"/>
  <c r="AM19" i="41"/>
  <c r="AS6" i="41"/>
  <c r="BD6" i="41"/>
  <c r="BH6" i="41" s="1"/>
  <c r="AS19" i="41"/>
  <c r="BD19" i="41"/>
  <c r="BH19" i="41" s="1"/>
  <c r="AI11" i="41"/>
  <c r="AC5" i="41"/>
  <c r="Y16" i="41"/>
  <c r="AI10" i="41"/>
  <c r="AM10" i="41"/>
  <c r="AM13" i="41"/>
  <c r="AI13" i="41"/>
  <c r="BD7" i="41"/>
  <c r="BH7" i="41" s="1"/>
  <c r="AS7" i="41"/>
  <c r="AI20" i="41"/>
  <c r="AI17" i="41"/>
  <c r="AI5" i="41"/>
  <c r="AM18" i="41"/>
  <c r="AI18" i="41"/>
  <c r="AM15" i="41" l="1"/>
  <c r="AX5" i="41"/>
  <c r="BD5" i="41" s="1"/>
  <c r="BH5" i="41" s="1"/>
  <c r="AX15" i="41"/>
  <c r="AS15" i="41"/>
  <c r="AT14" i="41"/>
  <c r="AT4" i="41" s="1"/>
  <c r="AS4" i="41" s="1"/>
  <c r="AN14" i="41"/>
  <c r="AI14" i="41"/>
  <c r="AS20" i="41"/>
  <c r="BD20" i="41"/>
  <c r="BH20" i="41" s="1"/>
  <c r="AS11" i="41"/>
  <c r="BD11" i="41"/>
  <c r="BH11" i="41" s="1"/>
  <c r="AW7" i="41"/>
  <c r="AS10" i="41"/>
  <c r="BD10" i="41"/>
  <c r="BH10" i="41" s="1"/>
  <c r="AW19" i="41"/>
  <c r="AS8" i="41"/>
  <c r="BD8" i="41"/>
  <c r="BH8" i="41" s="1"/>
  <c r="AM17" i="41"/>
  <c r="AS5" i="41"/>
  <c r="BD18" i="41"/>
  <c r="BH18" i="41" s="1"/>
  <c r="AS18" i="41"/>
  <c r="AM16" i="41"/>
  <c r="AI16" i="41"/>
  <c r="AW6" i="41"/>
  <c r="AI9" i="41"/>
  <c r="BD17" i="41"/>
  <c r="BH17" i="41" s="1"/>
  <c r="AS17" i="41"/>
  <c r="AC4" i="41"/>
  <c r="AD4" i="41"/>
  <c r="AI12" i="41"/>
  <c r="AM5" i="41"/>
  <c r="AM20" i="41"/>
  <c r="BD13" i="41"/>
  <c r="BH13" i="41" s="1"/>
  <c r="AS13" i="41"/>
  <c r="AM11" i="41"/>
  <c r="AM14" i="41" l="1"/>
  <c r="BG6" i="41"/>
  <c r="BL6" i="41" s="1"/>
  <c r="BD15" i="41"/>
  <c r="BH15" i="41" s="1"/>
  <c r="AW15" i="41"/>
  <c r="AX14" i="41"/>
  <c r="AS14" i="41"/>
  <c r="AN4" i="41"/>
  <c r="AM4" i="41" s="1"/>
  <c r="AW17" i="41"/>
  <c r="BD16" i="41"/>
  <c r="BH16" i="41" s="1"/>
  <c r="AS16" i="41"/>
  <c r="BC7" i="41"/>
  <c r="BM7" i="41" s="1"/>
  <c r="AW8" i="41"/>
  <c r="AM9" i="41"/>
  <c r="AW18" i="41"/>
  <c r="AM12" i="41"/>
  <c r="BD9" i="41"/>
  <c r="BH9" i="41" s="1"/>
  <c r="AS9" i="41"/>
  <c r="AW11" i="41"/>
  <c r="AW13" i="41"/>
  <c r="BD12" i="41"/>
  <c r="BH12" i="41" s="1"/>
  <c r="AS12" i="41"/>
  <c r="AW5" i="41"/>
  <c r="BC19" i="41"/>
  <c r="BM19" i="41" s="1"/>
  <c r="AW10" i="41"/>
  <c r="AW20" i="41"/>
  <c r="BG18" i="41" l="1"/>
  <c r="BL18" i="41" s="1"/>
  <c r="BG20" i="41"/>
  <c r="BL20" i="41" s="1"/>
  <c r="BG19" i="41"/>
  <c r="BG7" i="41"/>
  <c r="BG10" i="41"/>
  <c r="BL10" i="41" s="1"/>
  <c r="BG8" i="41"/>
  <c r="BL8" i="41" s="1"/>
  <c r="BD14" i="41"/>
  <c r="BH14" i="41" s="1"/>
  <c r="AW14" i="41"/>
  <c r="BC15" i="41"/>
  <c r="BM15" i="41" s="1"/>
  <c r="AW9" i="41"/>
  <c r="AW12" i="41"/>
  <c r="BC13" i="41"/>
  <c r="BM13" i="41" s="1"/>
  <c r="AW16" i="41"/>
  <c r="BC5" i="41"/>
  <c r="BM5" i="41" s="1"/>
  <c r="AX4" i="41"/>
  <c r="AW4" i="41" s="1"/>
  <c r="BC11" i="41"/>
  <c r="BM11" i="41" s="1"/>
  <c r="BC17" i="41"/>
  <c r="BM17" i="41" s="1"/>
  <c r="BC18" i="41"/>
  <c r="BM18" i="41" s="1"/>
  <c r="BC20" i="41"/>
  <c r="BM20" i="41" s="1"/>
  <c r="BC6" i="41"/>
  <c r="BC8" i="41"/>
  <c r="BM8" i="41" s="1"/>
  <c r="BC10" i="41"/>
  <c r="BM10" i="41" s="1"/>
  <c r="BC12" i="41"/>
  <c r="BM12" i="41" s="1"/>
  <c r="BL7" i="41" l="1"/>
  <c r="BK7" i="41" s="1"/>
  <c r="BM6" i="41"/>
  <c r="BK6" i="41" s="1"/>
  <c r="BL19" i="41"/>
  <c r="BK19" i="41" s="1"/>
  <c r="BK18" i="41"/>
  <c r="BK8" i="41"/>
  <c r="BK20" i="41"/>
  <c r="BK10" i="41"/>
  <c r="BG17" i="41"/>
  <c r="BG12" i="41"/>
  <c r="BG11" i="41"/>
  <c r="BG13" i="41"/>
  <c r="BG16" i="41"/>
  <c r="BL16" i="41" s="1"/>
  <c r="BG14" i="41"/>
  <c r="BG15" i="41"/>
  <c r="BD4" i="41"/>
  <c r="BC14" i="41"/>
  <c r="BM14" i="41" s="1"/>
  <c r="BC16" i="41"/>
  <c r="BM16" i="41" s="1"/>
  <c r="BG5" i="41"/>
  <c r="BC9" i="41"/>
  <c r="BM9" i="41" s="1"/>
  <c r="BC4" i="41" l="1"/>
  <c r="BM4" i="41" s="1"/>
  <c r="BL5" i="41"/>
  <c r="BK5" i="41" s="1"/>
  <c r="BL15" i="41"/>
  <c r="BK15" i="41" s="1"/>
  <c r="BL11" i="41"/>
  <c r="BK11" i="41" s="1"/>
  <c r="BL14" i="41"/>
  <c r="BK14" i="41" s="1"/>
  <c r="BL12" i="41"/>
  <c r="BK12" i="41" s="1"/>
  <c r="BL17" i="41"/>
  <c r="BK17" i="41" s="1"/>
  <c r="BL13" i="41"/>
  <c r="BK13" i="41" s="1"/>
  <c r="BK16" i="41"/>
  <c r="BG9" i="41"/>
  <c r="BH4" i="41"/>
  <c r="BG4" i="41" s="1"/>
  <c r="BL9" i="41" l="1"/>
  <c r="BK9" i="41" s="1"/>
  <c r="BL4" i="4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tc={D2AA794C-CF58-478A-A8C0-DBA1D096AB03}</author>
    <author>tc={FC96633C-32D8-4EC5-94B4-B5441A9832CD}</author>
    <author>tc={62ADB207-DD8B-4661-A9D6-2011AEE51B87}</author>
  </authors>
  <commentList>
    <comment ref="N1" authorId="0" shapeId="0" xr:uid="{D2AA794C-CF58-478A-A8C0-DBA1D096AB03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jest w osobnym pliku link do danych również za 2019 - źródło - ogółem</t>
      </text>
    </comment>
    <comment ref="AF1" authorId="1" shapeId="0" xr:uid="{FC96633C-32D8-4EC5-94B4-B5441A9832CD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przyjęto wszędzie wzrost o 6,6% - można zastąpić realnymi</t>
      </text>
    </comment>
    <comment ref="AR1" authorId="2" shapeId="0" xr:uid="{62ADB207-DD8B-4661-A9D6-2011AEE51B87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tak jak wcześniej - założone 2/3 - nie widzę powodu, żeby to modyfikować, aczkolwiek jakby ktoś się bardzo uparł, to pewnie można przyjąć, że w kryzysie mniej się wydaje na aktywa trwałe, a więcej na obrotowe, więc ten udział powinien wzrosnąć, ale nie sądzę, żeby był dokładny parametr, prawda?
Odpowiedź:
    Tutaj chyba tylko część z poniższego zapisu koncepcji badania jest do zrobienia: "Wartość nakładów obrotowych w nakładach ogółem zostanie oszacowana z uwzględnieniem danych GUS (wyniki finansowe przedsiębiorstw gospodarczych w I poł. 2019 r.) oraz danych NBP dot. udziału kredytów obrotowych w kredytach ogółem.
Wartości te zostaną skorygowane o prognozowany spadek PKB, by uwzględnić wpływ pandemii COVID-19 na sytuację gospodarczą oraz rozszacowane (dezagregowane) na poziom wojewódzki"
Odpowiedź:
    Są skorygowane, ponieważ wcześniejsze nakłady na aktywa trwałe są skorygowane, a zatem te, które są od nich uzależnione korygują się proporcjonalnie. Zgodnie z raportem NBP (https://www.nbp.pl/systemfinansowy/rynek_kredytowy_2021_1.pdf) popyt na wszystkie kredyty spadł proporcjonalnie, a zatem stosunek obrotowych do kredytów ogółem się nie zmienił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tc={F269D33C-DDA7-4112-8BAE-A9C17EE5148F}</author>
    <author>tc={069DCAE2-5457-496B-8A1B-AF558E2F43A5}</author>
    <author>tc={C1C0468C-73FD-4BB7-B071-BA92EB8AC434}</author>
  </authors>
  <commentList>
    <comment ref="Q1" authorId="0" shapeId="0" xr:uid="{F269D33C-DDA7-4112-8BAE-A9C17EE5148F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korekta - było 29%, średnia z uwzględnieniem lat 2008-2019 wynosi 29,7%</t>
      </text>
    </comment>
    <comment ref="T1" authorId="1" shapeId="0" xr:uid="{069DCAE2-5457-496B-8A1B-AF558E2F43A5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korekta - było 23%, średnia z uwzględnieniem lat 2008-2019 wynosi 22,6%</t>
      </text>
    </comment>
    <comment ref="Z2" authorId="2" shapeId="0" xr:uid="{C1C0468C-73FD-4BB7-B071-BA92EB8AC434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dane zaktualizowane 2020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tc={0D6AFDF4-07BC-4245-998E-AA48021ADF2F}</author>
  </authors>
  <commentList>
    <comment ref="Z1" authorId="0" shapeId="0" xr:uid="{0D6AFDF4-07BC-4245-998E-AA48021ADF2F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tutaj zmieniłem średnią wartość z lat 2015-2018 na wartość z ankiety z 2020 roku link osobno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tc={EC8ACE6E-19F5-417C-9848-ACE924511AD0}</author>
    <author>tc={8DDA458C-B57B-45D3-BA46-F593E11007A8}</author>
    <author>tc={E87EE613-194C-48F1-A3DB-AA83B67016BE}</author>
    <author>tc={8507E8EA-383D-421C-B164-2BC9920D6F92}</author>
    <author>tc={54CD3ADA-2668-4104-AFFA-19ADFF7BF4CA}</author>
  </authors>
  <commentList>
    <comment ref="F1" authorId="0" shapeId="0" xr:uid="{EC8ACE6E-19F5-417C-9848-ACE924511AD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pozmieniałem odnośniki - tam gdzie się dało odnosiłem się do wartości na 2020, a nie do średnich z lat</t>
      </text>
    </comment>
    <comment ref="X4" authorId="1" shapeId="0" xr:uid="{8DDA458C-B57B-45D3-BA46-F593E11007A8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dane z ostatniego możliwego raportu NBP - https://www.nbp.pl/publikacje/koniunktura/raport_4_kw_2020.pdf</t>
      </text>
    </comment>
    <comment ref="AH4" authorId="2" shapeId="0" xr:uid="{E87EE613-194C-48F1-A3DB-AA83B67016BE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dane z ostatniego możliwego raportu NBP - https://www.nbp.pl/publikacje/koniunktura/raport_4_kw_2020.pdf</t>
      </text>
    </comment>
    <comment ref="AR4" authorId="3" shapeId="0" xr:uid="{8507E8EA-383D-421C-B164-2BC9920D6F92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żadnych nowszych danych nie ma - pewnie wzrośnie w kryzysie, ale ja nic nie mogłem znaleźć</t>
      </text>
    </comment>
    <comment ref="BA4" authorId="4" shapeId="0" xr:uid="{54CD3ADA-2668-4104-AFFA-19ADFF7BF4CA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nic się nie zmieniło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tc={774F9999-6A92-4E3A-B1F8-AE643998808B}</author>
  </authors>
  <commentList>
    <comment ref="K3" authorId="0" shapeId="0" xr:uid="{774F9999-6A92-4E3A-B1F8-AE643998808B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korekta na wszystkie lata dla ostatniej znanej wartości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tc={F775503B-C21A-4493-8AE4-F960EF18E8D0}</author>
    <author>tc={862DF1B2-BD72-4424-A911-BB13BB7E3E67}</author>
    <author>tc={AAD1B6E9-6A43-4F68-B343-EC34141C5A45}</author>
    <author>tc={1CAEAF7F-99AB-4A76-9252-2ADE17563404}</author>
  </authors>
  <commentList>
    <comment ref="C1" authorId="0" shapeId="0" xr:uid="{F775503B-C21A-4493-8AE4-F960EF18E8D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zmieniłem na automatyczne obliczanie z poprzednim arkuszem</t>
      </text>
    </comment>
    <comment ref="D1" authorId="1" shapeId="0" xr:uid="{862DF1B2-BD72-4424-A911-BB13BB7E3E67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tak jak obok</t>
      </text>
    </comment>
    <comment ref="G1" authorId="2" shapeId="0" xr:uid="{AAD1B6E9-6A43-4F68-B343-EC34141C5A45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ta sama wartość co w poprzednim arkuszu - nie zmieniam</t>
      </text>
    </comment>
    <comment ref="M1" authorId="3" shapeId="0" xr:uid="{1CAEAF7F-99AB-4A76-9252-2ADE17563404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dodana kolumna dla Wielkopolski</t>
      </text>
    </comment>
  </commentList>
</comments>
</file>

<file path=xl/sharedStrings.xml><?xml version="1.0" encoding="utf-8"?>
<sst xmlns="http://schemas.openxmlformats.org/spreadsheetml/2006/main" count="1022" uniqueCount="426">
  <si>
    <t>2017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</si>
  <si>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</si>
  <si>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</si>
  <si>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</si>
  <si>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</si>
  <si>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</si>
  <si>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</si>
  <si>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</si>
  <si>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</si>
  <si>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</si>
  <si>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</si>
  <si>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</si>
  <si>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</si>
  <si>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</si>
  <si>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</si>
  <si>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</si>
  <si>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</si>
  <si>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</si>
  <si>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Nazwa jednostki terytorialnej</t>
  </si>
  <si>
    <t>Ogółem</t>
  </si>
  <si>
    <t>Mikro</t>
  </si>
  <si>
    <t>Małe</t>
  </si>
  <si>
    <t>Średnie</t>
  </si>
  <si>
    <t>Duże</t>
  </si>
  <si>
    <t>Oznaczenie</t>
  </si>
  <si>
    <t>I</t>
  </si>
  <si>
    <t>II</t>
  </si>
  <si>
    <t>III</t>
  </si>
  <si>
    <t>IV</t>
  </si>
  <si>
    <t>V</t>
  </si>
  <si>
    <t>I-III kw. 2019</t>
  </si>
  <si>
    <t>Przedsiębiorstwa niefinansowe w 2017 r. (GUS)</t>
  </si>
  <si>
    <t>Szacowana liczba przedsiębiorstw niefinansowych w 2019</t>
  </si>
  <si>
    <t>Podmioty wyejestrowane wg wybranych sekcji PKD</t>
  </si>
  <si>
    <t>I-III 2019</t>
  </si>
  <si>
    <t>Podmioty nowo zarejestrowane wg wybranych sekcji PKD</t>
  </si>
  <si>
    <t>Podmioty nowopowstałe w latach 2015-2019 (netto)</t>
  </si>
  <si>
    <t>Zmiana w liczbie podmiotów do roku poprzedniego (2018/2017)</t>
  </si>
  <si>
    <t>Zmiana w liczbie podmiotów do roku poprzedniego (2019/2018)</t>
  </si>
  <si>
    <t>Szacowana liczba nowopowstałych przedsiębiorstw niefinansowych (netto) w 2020 r.</t>
  </si>
  <si>
    <t>Podmioty gospodarki narodowej REGON w 2017</t>
  </si>
  <si>
    <t>Podmioty gospodarki narodowej REGON w 2018</t>
  </si>
  <si>
    <t>Podmioty gospodarki narodowej REGON w 2019</t>
  </si>
  <si>
    <t>Podmioty gospodarki narodowej REGON w 2015</t>
  </si>
  <si>
    <t>Podmioty gospodarki narodowej REGON w 2016</t>
  </si>
  <si>
    <t>Zmiana w liczbie podmiotów do roku poprzedniego (2017/2016)</t>
  </si>
  <si>
    <t>Zmiana w liczbie podmiotów do roku poprzedniego (2016/2015)</t>
  </si>
  <si>
    <t>Szacowana zmiana w liczbie podmiotów w 2020 do roku 2019</t>
  </si>
  <si>
    <t>VI</t>
  </si>
  <si>
    <t>VII</t>
  </si>
  <si>
    <t>VIII</t>
  </si>
  <si>
    <t>IX</t>
  </si>
  <si>
    <t>X</t>
  </si>
  <si>
    <t>Szacowana liczba przedsiębiorstw niefinansowych w 2020</t>
  </si>
  <si>
    <t>Oznaczenie potrzeb inwestycyjnych</t>
  </si>
  <si>
    <t>Zastąpienie istniejących budynków, maszyn i  urządzeń, IT</t>
  </si>
  <si>
    <t>Rozszerzenie zdolności produkcyjnych w zakresie istniejących produktów/usług</t>
  </si>
  <si>
    <t>Rozwój lub wprowadzanie nowych produktów, procesów, usług</t>
  </si>
  <si>
    <t>Brak planów inwestycyjnych</t>
  </si>
  <si>
    <t>Ogółem MŚP</t>
  </si>
  <si>
    <t>Planujący inwestycje, w tym:</t>
  </si>
  <si>
    <t>Udział przedsiębiorstw planujących inwestycje na najbliższe 3 lata (w %)</t>
  </si>
  <si>
    <t>Szacowana liczba przedsiębiorstw niefinansowych w 2020 r. planujących inwestycje</t>
  </si>
  <si>
    <t>Razem</t>
  </si>
  <si>
    <t>MŚP</t>
  </si>
  <si>
    <t>2015-2019</t>
  </si>
  <si>
    <t>Wartość umów</t>
  </si>
  <si>
    <t>Koszty zarządzania</t>
  </si>
  <si>
    <t>Liczba pośredników</t>
  </si>
  <si>
    <t>Liczba - mikro</t>
  </si>
  <si>
    <t>Wartość - mikro</t>
  </si>
  <si>
    <t>Średnia mikro</t>
  </si>
  <si>
    <t>Liczba - małe</t>
  </si>
  <si>
    <t>Wartość - małe</t>
  </si>
  <si>
    <t>Średnia małe</t>
  </si>
  <si>
    <t>Liczba -średnie</t>
  </si>
  <si>
    <t>Wartość - średnie</t>
  </si>
  <si>
    <t>Średnia - średnie</t>
  </si>
  <si>
    <t>Liczba udzielonych ogółem</t>
  </si>
  <si>
    <t>Wartość udzielonych ogółem</t>
  </si>
  <si>
    <t>Średnia wartość ogółem</t>
  </si>
  <si>
    <t>Pożyczki wypłacone</t>
  </si>
  <si>
    <t>Ogółem MSP</t>
  </si>
  <si>
    <t>mln zł</t>
  </si>
  <si>
    <t>Szacowana liczba firm ubiegających się o kredyt</t>
  </si>
  <si>
    <t>Średni odsetek odrzuconych wniosków</t>
  </si>
  <si>
    <t xml:space="preserve">Szacowana średnia, roczna liczba nowopowstałych przedsiębiorstw niefinansowych (netto) </t>
  </si>
  <si>
    <t>Szacowana liczba nowopowstałych firm innowacyjnych w skali rynku (startup)</t>
  </si>
  <si>
    <t>Szacowana liczba startupów finansujących się środkami zewnętrznymi</t>
  </si>
  <si>
    <t>Szacowana liczba startupów zainteresowana finansowaniem kapitałowym</t>
  </si>
  <si>
    <t>Wartość średniorocznie</t>
  </si>
  <si>
    <t xml:space="preserve">Przedsiębiorstwa niefinansowe w 2018 </t>
  </si>
  <si>
    <t>Nazwa</t>
  </si>
  <si>
    <t>PKB</t>
  </si>
  <si>
    <t>2018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</si>
  <si>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</si>
  <si>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</si>
  <si>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</si>
  <si>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</si>
  <si>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</si>
  <si>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</si>
  <si>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</si>
  <si>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</si>
  <si>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</si>
  <si>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</si>
  <si>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</si>
  <si>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</si>
  <si>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</si>
  <si>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</si>
  <si>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</si>
  <si>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</si>
  <si>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</si>
  <si>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Kredyt MŚP</t>
  </si>
  <si>
    <t>Finansowanie zew. Razem</t>
  </si>
  <si>
    <t>Dotacje MŚP</t>
  </si>
  <si>
    <t>leasing MŚP</t>
  </si>
  <si>
    <t>Inne MŚP</t>
  </si>
  <si>
    <t>Potrzeby B+R</t>
  </si>
  <si>
    <t>Kredyt Duże</t>
  </si>
  <si>
    <t>Dotacje Duże</t>
  </si>
  <si>
    <t>leasing Duże</t>
  </si>
  <si>
    <t>Inne Duże</t>
  </si>
  <si>
    <t>Rok</t>
  </si>
  <si>
    <t>Potrzeby obrotowe</t>
  </si>
  <si>
    <t>Potrzeby inwestycyjne</t>
  </si>
  <si>
    <t>Potrzeby inwestycyjno-obrotowe</t>
  </si>
  <si>
    <t xml:space="preserve">% zew. </t>
  </si>
  <si>
    <t>Prognozowane nakłady  (tys.)</t>
  </si>
  <si>
    <t>Szacowana liczba firm z odrzuconymi wnioskami</t>
  </si>
  <si>
    <t>Średni odsetek firm ubiegających się o kredyt</t>
  </si>
  <si>
    <t>2012-2019</t>
  </si>
  <si>
    <t>Odsetek firm deklarujących brak wystarczającego zabezpieczenia kredytu</t>
  </si>
  <si>
    <t>Mnożnik</t>
  </si>
  <si>
    <t>% wartości kredytu zabezpieczana gwarancją</t>
  </si>
  <si>
    <t>Szacowana wartość kredytu o jaką ubiegają się MŚP (w mln zł)</t>
  </si>
  <si>
    <t>Potencjalna wartość kredytów, w których występuje problem z zabezpieczeniem (w mln zł)</t>
  </si>
  <si>
    <t>Wartość kapitału niezbędnego do zapewnienia gwarancji dla kredytów, w których występuje problem z zabezpieczeniem (Luka gwarancji) w mln zł</t>
  </si>
  <si>
    <t>% zew.</t>
  </si>
  <si>
    <t>Szacowana wartość nieotrzymanego kredytu (w mln zł)</t>
  </si>
  <si>
    <t xml:space="preserve">Szacowana liczba firm mająca problem z zabezpieczeniem </t>
  </si>
  <si>
    <t>Luka pożyczek (mln zł)</t>
  </si>
  <si>
    <t>Luka finansowania dłużnego (mln zł)</t>
  </si>
  <si>
    <t>% finansowany kredytem</t>
  </si>
  <si>
    <t>Nakłady łącznie (w mln zł)</t>
  </si>
  <si>
    <t xml:space="preserve">% odrzuconych </t>
  </si>
  <si>
    <t>% problem z zabezpieczeniem</t>
  </si>
  <si>
    <t>% zabezpieczenia kredytu</t>
  </si>
  <si>
    <t>Pożyczki</t>
  </si>
  <si>
    <t>Gwarancje</t>
  </si>
  <si>
    <t>Szacowana luka gwarancji (mln zł)</t>
  </si>
  <si>
    <t>Szacowana luka pożyczek (mln zł)</t>
  </si>
  <si>
    <t>Szacowana luka finansowania dłużnego (mln zł)</t>
  </si>
  <si>
    <t>Szacunkowa wartość kredytu (mln zł)</t>
  </si>
  <si>
    <t>Odsetek firm innowacyjnych w skali rynku</t>
  </si>
  <si>
    <t>Odsetek startupów korzystajacy z finansowania zewnętrznego</t>
  </si>
  <si>
    <t>Odsetek startupów zainteresowanych finansowaniem kapitałowym</t>
  </si>
  <si>
    <t>Szacowany odsetek startupów w fazie wzrostu</t>
  </si>
  <si>
    <t xml:space="preserve">Liczba startupów - faza wzrostu </t>
  </si>
  <si>
    <t>Liczba startupów - faza wczesna</t>
  </si>
  <si>
    <t>Średnia wielkość inwestycji w fazie wzrostu (tys zł)</t>
  </si>
  <si>
    <t>Średnia wielkość inwestycji - wczesna faza (tys. zł)</t>
  </si>
  <si>
    <t>Zapotrzebowanie na finansowanie kapitałowe- faza wzrostu (mln zł)</t>
  </si>
  <si>
    <t>Zapotrzebowanie na finansowanie kapitałowe- wczesna faza (mln zł)</t>
  </si>
  <si>
    <t>Odsetek startupów uzyskujący finansowanie kapitałowe</t>
  </si>
  <si>
    <t>Liczba startupów, które pozyskają finansowanie - faza wzrostu</t>
  </si>
  <si>
    <t>Liczba startupów, które pozyskają finansowania - wczesna faza</t>
  </si>
  <si>
    <t>Uzsykane finansowanie (faza wczesna) mln zł</t>
  </si>
  <si>
    <t>Uzyskane finansowanie (faza wzrostu) mln zł</t>
  </si>
  <si>
    <t>Luka w dostępie do finansowania - wczesna faza (mln zł)</t>
  </si>
  <si>
    <t>Luka w dostępie do finansowania - faza wzrostu (mln zł)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</si>
  <si>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</si>
  <si>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</si>
  <si>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</si>
  <si>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</si>
  <si>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</si>
  <si>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</si>
  <si>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</si>
  <si>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</si>
  <si>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</si>
  <si>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</si>
  <si>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</si>
  <si>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</si>
  <si>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Nakłady na rzeczowe aktywa trwałe w 2018 - Ogółem (w tys. zł)</t>
  </si>
  <si>
    <t>Nakłady na kapitał obrotowy w 2018 - Ogółem (w tys. zł)</t>
  </si>
  <si>
    <t>MŚP2</t>
  </si>
  <si>
    <t>Mikro2</t>
  </si>
  <si>
    <t>Małe2</t>
  </si>
  <si>
    <t>Średnie2</t>
  </si>
  <si>
    <t>Duże2</t>
  </si>
  <si>
    <t>Nakłady na B+R w 2018 - Ogółem (w tys. zł)</t>
  </si>
  <si>
    <t>MŚP3</t>
  </si>
  <si>
    <t>Mikro3</t>
  </si>
  <si>
    <t>Małe3</t>
  </si>
  <si>
    <t>Średnie3</t>
  </si>
  <si>
    <t>Duże3</t>
  </si>
  <si>
    <t>Nakłady razem w 2018 - Ogółem (w tys. zł)</t>
  </si>
  <si>
    <t>MŚP4</t>
  </si>
  <si>
    <t>Mikro4</t>
  </si>
  <si>
    <t>Małe4</t>
  </si>
  <si>
    <t>Średnie4</t>
  </si>
  <si>
    <t>Duże4</t>
  </si>
  <si>
    <t>Odsetek przedsiębiorst w nakładach w 2018 - Ogółem (w tys. zł)</t>
  </si>
  <si>
    <t>MŚP5</t>
  </si>
  <si>
    <t>Mikro5</t>
  </si>
  <si>
    <t>Małe5</t>
  </si>
  <si>
    <t>Średnie5</t>
  </si>
  <si>
    <t>Duże5</t>
  </si>
  <si>
    <t>Szacowane nakłady na rzeczowe aktywa trwałe w 2019 - Ogółem (w tys. zł)</t>
  </si>
  <si>
    <t>MŚP6</t>
  </si>
  <si>
    <t>Mikro6</t>
  </si>
  <si>
    <t>Małe6</t>
  </si>
  <si>
    <t>Średnie6</t>
  </si>
  <si>
    <t>Duże6</t>
  </si>
  <si>
    <t>Prognozowane nakłady na rzeczowe aktywa trwałe w 2020 - Ogółem (w tys. zł)</t>
  </si>
  <si>
    <t>MŚP7</t>
  </si>
  <si>
    <t>Mikro7</t>
  </si>
  <si>
    <t>Małe7</t>
  </si>
  <si>
    <t>Średnie7</t>
  </si>
  <si>
    <t>Duże7</t>
  </si>
  <si>
    <t>MŚP8</t>
  </si>
  <si>
    <t>Mikro8</t>
  </si>
  <si>
    <t>Małe8</t>
  </si>
  <si>
    <t>Średnie8</t>
  </si>
  <si>
    <t>Duże8</t>
  </si>
  <si>
    <t>Nakłady na B+R w 2019 - Ogółem (w tys. zł)</t>
  </si>
  <si>
    <t>MŚP9</t>
  </si>
  <si>
    <t>Mikro9</t>
  </si>
  <si>
    <t>Małe9</t>
  </si>
  <si>
    <t>Średnie9</t>
  </si>
  <si>
    <t>Duże9</t>
  </si>
  <si>
    <t>Nakłady na B+R w 2020 - Ogółem  (w tys. zł)</t>
  </si>
  <si>
    <t>MŚP10</t>
  </si>
  <si>
    <t>Mikro10</t>
  </si>
  <si>
    <t>Małe10</t>
  </si>
  <si>
    <t>Średnie10</t>
  </si>
  <si>
    <t>Duże10</t>
  </si>
  <si>
    <t>Nakłady łącznie w 2020 - Ogółem (w tys. zł)</t>
  </si>
  <si>
    <t>MŚP11</t>
  </si>
  <si>
    <t>Mikro11</t>
  </si>
  <si>
    <t>Małe11</t>
  </si>
  <si>
    <t>Średnie11</t>
  </si>
  <si>
    <t>Duże11</t>
  </si>
  <si>
    <t>Nakłady na rzeczowe aktywa trwałe w 2018 r. w sektorze przedsiębiorstw niefinansowych wyliczono w oparciu o GUS,  https://stat.gov.pl/obszary-tematyczne/podmioty-gospodarcze-wyniki-finansowe/przedsiebiorstwa-niefinansowe/dzialalnosc-przedsiebiorstw-niefinansowych-w-2018-roku,2,15.html, (Plik xlsx, tabela 13)</t>
  </si>
  <si>
    <t>Nakłady na kapitał obrotowy w 2018 wyliczono w oparciu o GUS (https://stat.gov.pl/obszary-tematyczne/podmioty-gospodarcze-wyniki-finansowe/przedsiebiorstwa-niefinansowe/wyniki-finansowe-podmiotow-gospodarczych-i-vi-2019,11,21.html (tabela 07), oraz NBP (https://www.nbp.pl/home.aspx?f=/statystyka/pieniezna_i_bankowa/naleznosci.html (kredyty DP, MSP))</t>
  </si>
  <si>
    <t>Nakłady na B+R w 2018 r. ogółem wyliczono w oparciu o GUS, https://bdl.stat.gov.pl/BDL/metadane/cechy/2750?back=True, podział wg wielkości firm - na podstawie GUS: https://stat.gov.pl/obszary-tematyczne/nauka-i-technika-spoleczenstwo-informacyjne/nauka-i-technika/dzialalnosc-badawcza-i-rozwojowa-w-polsce-w-2018-roku,15,3.html; nakłady mikro stanowiły 2,6%, małych - 9,9%, średnich - 20,7%, dużych - 66, 8%</t>
  </si>
  <si>
    <t>Nakłady razem w 2018 r. wliczono jako sumę nakładów na rzeczowe aktywa trwałe, kapitał obrotowy i B+R w 2018 r.</t>
  </si>
  <si>
    <t>Szacowane nakłady na rzeczowe aktywa trwałe w 2019 r. wyliczono bazując na nakładach z 2018 r. w poszczególnych grupach przedsiębiorstw, które zostały powiększone o szacowany wzrost nakładów inwestycyjnych na 2019 r. w wysokości 6,6% (wg. Dziennik Gazeta Prawna, Nr 1, 02.01.2020 r., s. A4)</t>
  </si>
  <si>
    <t>Szacowane nakłady na rzeczowe aktywa trwałe w 2020 r. wyliczono bazując na nakładach z 2019 r. w poszczególnych grupach przedsiębiorstw, które zostały powiększone o szacowany wzrost nakładów inwestycyjnych na 2020 r. w wysokości 2,68% (wg. Puls Biznesu, Nr 1, 02.01.2020 r., s. 2-3)</t>
  </si>
  <si>
    <t>Szacowane nakłady na kapitał obrotowy w 2020 obliczono wykorzystując wskaźnik analogiczny jak dla 2018 r. tj. nakłady obrotowe stanowią 40% nakładów ogółem (wyliczenie: nakładyna aktywa trwałe *40/60)</t>
  </si>
  <si>
    <t xml:space="preserve">https://bdl.stat.gov.pl/BDL/metadane/podgrupy/554?back=True  </t>
  </si>
  <si>
    <t>Nakłady na kapitał obrotowy w 2020 - Ogółem (w tys. zł)</t>
  </si>
  <si>
    <t>Szacowane nakłady na B+R w 2019 r. i 2020 r. wyliczono na podstawie zakładki 5.1.1 Nakłady na B+R; wartość w podziale na wielkość firm wyliczono wg. GUS (Działalność B+R w Polsce) jako średnia dla lat 2017-2018, która wynosi dla mikro- 2,82%, małe - 9,69%, średnie - 21,54%, duże 65,95%.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</si>
  <si>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</si>
  <si>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</si>
  <si>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</si>
  <si>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</si>
  <si>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</si>
  <si>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</si>
  <si>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</si>
  <si>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</si>
  <si>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</si>
  <si>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Kolumna10</t>
  </si>
  <si>
    <t>Kolumna11</t>
  </si>
  <si>
    <t>Kolumna12</t>
  </si>
  <si>
    <t>Kolumna13</t>
  </si>
  <si>
    <t>Kolumna14</t>
  </si>
  <si>
    <t>Kolumna15</t>
  </si>
  <si>
    <t>Kolumna16</t>
  </si>
  <si>
    <t>Kolumna17</t>
  </si>
  <si>
    <t>Kolumna18</t>
  </si>
  <si>
    <t>Kolumna19</t>
  </si>
  <si>
    <t>Kolumna20</t>
  </si>
  <si>
    <t xml:space="preserve">Nakłady na rzeczowe aktywa trwałe - Ogółem (w mln zł) </t>
  </si>
  <si>
    <t>Nakłady na kapitał obrotowy - Ogółem (mln zł)</t>
  </si>
  <si>
    <t>Nakłady na B+R - Ogółem  (mln zł)</t>
  </si>
  <si>
    <t xml:space="preserve">Nakłady łącznie - Ogółem (mln zł) </t>
  </si>
  <si>
    <t>Nakłady na rzeczowe aktywa trwałe w 2020 r. obliczono na podstawie zakładki 5.1.1 Nakłady razem. Wyliczenia na lata kolejne na podstawie roku poprzedniego powiększonego o średni 6% wzrost.</t>
  </si>
  <si>
    <t>Nakłady na B+R wyliczono analogicznie jak w zakładce 5.1.1 Nakłady razem w zakresie nakładów na B+R</t>
  </si>
  <si>
    <t xml:space="preserve">Nakłady na kapitał obrotowy wyliczono analogicznie jak w zakładce 5.1.1 Nakłady razem w zakresie szacowanego kapitału obrotowego </t>
  </si>
  <si>
    <t>Potrzeby Inw. MŚP (mln zł)</t>
  </si>
  <si>
    <t>Potrzeby Inw. Duże (mln zł)</t>
  </si>
  <si>
    <t>Potrzeby Inw. Razem (mln zł)</t>
  </si>
  <si>
    <t>Potrzeby Obrotowe MŚP (mln zł)</t>
  </si>
  <si>
    <t>Potrzeby Obrotowe Duże (mln zł)</t>
  </si>
  <si>
    <t>Potrzeby Obrotowe Razem (mln zł)</t>
  </si>
  <si>
    <t>Potrzeby inw-obr. MŚP (mln zł)</t>
  </si>
  <si>
    <t>Potrzeby inw-obr. Duże (mln zł)</t>
  </si>
  <si>
    <t>Potrzeby inw-obr. Razem (mln zł)</t>
  </si>
  <si>
    <t>Potrzeby B+R MŚP (mln zł)</t>
  </si>
  <si>
    <t>Potrzeby B+R Duże (mln zł)</t>
  </si>
  <si>
    <t>Potrzeby B+R Razem (mln zł)</t>
  </si>
  <si>
    <t>Łączne potrzeby MŚP (mln zł)</t>
  </si>
  <si>
    <t>Łączne potrzeby Duże (mln zł)</t>
  </si>
  <si>
    <t>Łączne potrzeby Razem (mln zł)</t>
  </si>
  <si>
    <t>Finansowanie zew. Razem MŚP (mln zł)</t>
  </si>
  <si>
    <t>Finansowanie zew. Razem Duże (mln zł)</t>
  </si>
  <si>
    <t>Finansowanie zew. Razem Razem (mln zł)</t>
  </si>
  <si>
    <t>Potrzeby inwestycyjne na 2020 wyliczono na podstawie zakładki 5.1.1 Nakłady razem.</t>
  </si>
  <si>
    <t>Odsetek źródeł finansowania zewnętrznego nakładów inwestycyjnych wyliczono w oparciu o GUS BDL, dane średnie za okres 2010-2018: https://bdl.stat.gov.pl/BDL/metadane/podgrupy/539?back=True</t>
  </si>
  <si>
    <t>Odsetek źródeł finansowania zewnętrznego nakładów B+R wyliczono w oparciu o GUS BDL, dane średnie za okres 2010-2018: https://bdl.stat.gov.pl/BDL/metadane/cechy/2750?back=True</t>
  </si>
  <si>
    <t>Dane na temat udziału kredytów, dotacji, leasingu i innych form wyliczono w oparciu o średnie dane EBI dla lat 2015-2018: https://data.eib.org/eibis/graph</t>
  </si>
  <si>
    <t>Wartość średniorocznie2</t>
  </si>
  <si>
    <t>Wartość średniorocznie3</t>
  </si>
  <si>
    <t>Wartość średniorocznie4</t>
  </si>
  <si>
    <t>Kolumna21</t>
  </si>
  <si>
    <t>Kolumna22</t>
  </si>
  <si>
    <t>Kolumna23</t>
  </si>
  <si>
    <t>Kolumna24</t>
  </si>
  <si>
    <t>Kolumna25</t>
  </si>
  <si>
    <t>Kolumna26</t>
  </si>
  <si>
    <t>Kolumna27</t>
  </si>
  <si>
    <t>Kolumna28</t>
  </si>
  <si>
    <t>Kolumna29</t>
  </si>
  <si>
    <t>Kolumna30</t>
  </si>
  <si>
    <t>Kolumna31</t>
  </si>
  <si>
    <t>Udział przedsiębiorstw planujących inwestycje na najbliższe 3 lata (w %)6</t>
  </si>
  <si>
    <t>Udział przedsiębiorstw planujących inwestycje na najbliższe 3 lata (w %)12</t>
  </si>
  <si>
    <t>Udział przedsiębiorstw planujących inwestycje na najbliższe 3 lata (w %)18</t>
  </si>
  <si>
    <t>Sposób wyliczenia na podstawie EIB Investment Survey: https://data.eib.org/eibis/graph, Topic (temat):Investment needs (potrzeby inwestycyjne; Indicator (wskaźnik): Firms' investment priority for the next three years (priorytety inwestycyjne firm na kolejne 3 lata); Comparison type (sposób porównania): Within country (w obrębie kraju); Country (kraj): Poland (Polska); Year (rok): 2015; Comparator (porównanie): Firm size (rozmiar firmy). Wartości procentowe prezentowane na wykresie graficznym.</t>
  </si>
  <si>
    <t xml:space="preserve">Potrzeby B+R </t>
  </si>
  <si>
    <t>Potrzeby B+R2</t>
  </si>
  <si>
    <t xml:space="preserve">Finansowanie zew. B+R </t>
  </si>
  <si>
    <t>Finansowanie zew. B+R 2</t>
  </si>
  <si>
    <t>Finansowanie zew. B+R 3</t>
  </si>
  <si>
    <t>Potrzeby obrotowe2</t>
  </si>
  <si>
    <t>Potrzeby obrotowe3</t>
  </si>
  <si>
    <t>Potrzeby inwestycyjne2</t>
  </si>
  <si>
    <t>Potrzeby inwestycyjne3</t>
  </si>
  <si>
    <t>Potrzeby inwestycyjno-obrotowe2</t>
  </si>
  <si>
    <t>Potrzeby inwestycyjno-obrotowe3</t>
  </si>
  <si>
    <t>Finansowanie zew. (inw.-obr)</t>
  </si>
  <si>
    <t>Finansowanie zew. (inw.-obr)2</t>
  </si>
  <si>
    <t>Finansowanie zew. (inw.-obr)3</t>
  </si>
  <si>
    <t>Finansowanie zew. Razem2</t>
  </si>
  <si>
    <t>Finansowanie zew. Razem3</t>
  </si>
  <si>
    <t>Dane w mln zł</t>
  </si>
  <si>
    <t>Dane dotyczące % finansowania zewnętrznego na podstawie zakładki 5.1.2 Fin. zew_woj</t>
  </si>
  <si>
    <t>Kolumna32</t>
  </si>
  <si>
    <t>Kolumna33</t>
  </si>
  <si>
    <t>Kolumna34</t>
  </si>
  <si>
    <t>Kolumna35</t>
  </si>
  <si>
    <t>Kolumna36</t>
  </si>
  <si>
    <t>Kolumna37</t>
  </si>
  <si>
    <t>Kolumna38</t>
  </si>
  <si>
    <t>Kolumna39</t>
  </si>
  <si>
    <t>Kolumna40</t>
  </si>
  <si>
    <t>Liczba podmiotów gospodarki narodowej wpisana do REGON w latach 2015-2019 wyliczona w oparciu o GUS: https://bdl.stat.gov.pl/BDL/metadane/cechy/2613</t>
  </si>
  <si>
    <t>Zmiana w liczbie podmiotów w poszczególnych kategoriach do roku poprzedniego wyliczono jako: Liczba podmiotów gospodarki narodowej w danym roku r. w danej kategorii / liczba podmiotów gospodarki narodowej w roku poprzednim. w tej samej kategorii *100</t>
  </si>
  <si>
    <t>Liczba podmiotów nowo zarejestrowanych w rejestrze REGON zsumowana wg sekcji właściwych dla przedsiębiorstw niefinansowych tj. B-J, L-N, P-S - wg GUS: https://bdl.stat.gov.pl/BDL/metadane/cechy/3002</t>
  </si>
  <si>
    <t>Liczba podmiotów wyrejestrowanych z rejestru REGON zsumowana wg sekcji właściwych dla przedsiębiorstw niefinansowych tj. B-J, L-N, P-S  wg. GUS: https://bdl.stat.gov.pl/BDL/metadane/cechy/3003</t>
  </si>
  <si>
    <t>Liczba podmiotów nowopowstałych (niefinansowych) netto w poszczególnych latach - Sposób wyliczenia: podmioty nowo zarejestrowane - podmioty wyrejestrowane w poszczególnych latach</t>
  </si>
  <si>
    <t>Szacowana liczba nowopowstałych przedsiębiorstw niefinansowych (netto) w 2020 r. - Sposób wyliczenia: średnia liczba podmiotów nowopowstałych (netto) dla lat 2015-2019</t>
  </si>
  <si>
    <t>Liczba przedsiębiorstw niefinansowych w 2018 r. - wg GUS: https://stat.gov.pl/obszary-tematyczne/podmioty-gospodarcze-wyniki-finansowe/przedsiebiorstwa-niefinansowe/dzialalnosc-przedsiebiorstw-niefinansowych-w-2018-roku,2,15.html (arkusz xls, tabela 9.)</t>
  </si>
  <si>
    <t xml:space="preserve">Szacowana liczba przedsiębiorstw niefinansowych w 2019: Sposób wyliczenia: przy wyliczeniu szacunkowej liczby przedsiębiorstw uwzględniono podmioty nowopowstałe netto w roku 2019 (zakładka Przedsiębiorstwa nowopowst., oznaczenie kolumn III) oraz tendencję w zmianie liczby podmiotów w poszczególnych kategoriach do roku poprzedniego (zakładka Podmioty REGON, oznaczenie kolumn IX). Z uwagi na fakt, że w kategorii mikro firm tendencja jest zawsze wzrostowa, a w kategorii małe, średnie i duże dominuje tendencja spadkowa w pierwszej kolejności wyliczono wielkość dla małych, średnich i dużych firm mnożąc ich wartość z roku 2018 przez procentowy współczynnik zmiany w liczbie podmiotów dla lat 2019/2018. Wielkość dla mikroprzedsiębiorstw obliczono jako: (Suma liczby przedsiębiorstw ogółem w 2018 oraz liczby nowopowstałych podmiotów netto w 2019) minus (Suma liczby małych, średnich i dużych firm w 2019). </t>
  </si>
  <si>
    <t xml:space="preserve">Szacowana liczba przedsiębiorstw niefinansowych w 2020: Sposób wyliczenia: przy wyliczeniu szacunkowej liczby przedsiębiorstw uwzględniono szacowaną liczbę podmiotów nowopowstałych netto w roku 2020 (zakładka Przedsiębiorstwa nowopowst., oznaczenie kolumn IV) oraz szacowaną tendencję w zmianie liczby podmiotów w poszczególnych kategoriach w roku 2020 do roku poprzedniego (zakładka Podmioty REGON, oznaczenie kolumn X). Z uwagi na fakt, że w kategorii mikro firm tendencja jest zawsze wzrostowa, a w kategorii małe, średnie i duże dominuje tendencja spadkowa w pierwszej kolejności wyliczono wielkość dla małych, średnich i dużych firm mnożąc ich wartość z roku 2019 przez szacowany procentowy współczynnik zmiany w liczbie podmiotów dla lat 2020/2019. Wielkość dla mikroprzedsiębiorstw obliczono jako: (Suma liczby przedsiębiorstw ogółem w 2019 oraz szacowanej liczby nowopowstałych podmiotów netto w 2020) minus (Suma liczby małych, średnich i dużych firm w 2020). </t>
  </si>
  <si>
    <t xml:space="preserve">Nakłady jednostkowe Mikro (tys. zł) </t>
  </si>
  <si>
    <t xml:space="preserve">Nakłady jednostkowe Średnie (tys. zł) </t>
  </si>
  <si>
    <t>Nakłady jednostkowe Małe (tys. zł)</t>
  </si>
  <si>
    <t>Odsetek ubiegających się o kredyt</t>
  </si>
  <si>
    <t>Średni odsetek mikro planujących inwestycje</t>
  </si>
  <si>
    <t>Odsetek mikro planujących inwestycje</t>
  </si>
  <si>
    <t>Średni odsetek małych planujących inwestycje</t>
  </si>
  <si>
    <t>Odsetek małych planujących inwestycje</t>
  </si>
  <si>
    <t>Średni odsetek średnich firm planujących inwestycje</t>
  </si>
  <si>
    <t>Odsetek średnich firm planujących inwestycje</t>
  </si>
  <si>
    <t>Odsetek odrzuconych wniosków</t>
  </si>
  <si>
    <t>Średni odsetek firm deklarujących brak wystarczającego zabezpieczenia kredytu</t>
  </si>
  <si>
    <t>Szacowana luka finansowania dłużnego (mln zł)16</t>
  </si>
  <si>
    <t>Wyliczenia przedstawiono dla roku 2020 r.</t>
  </si>
  <si>
    <t>Szacowana średnia, roczna liczba nowopowstałych przedsiębiorstw niefinansowych (netto) - wyliczenia na podstawie zakładki 5.1.3 Przeds. Nowopowst.</t>
  </si>
  <si>
    <t>Odsetek firm innowacyjnych w skali rynku - sposób wyliczenia - na podstawie PARP Monitoring innowacyjności polskich przedsiębiorstw ( s. 24) https://www.parp.gov.pl/component/publications/publication/monitoring-innowacyjnosci-polskich-przedsiebiorstw-wyniki-ii-edycji-badania-2019</t>
  </si>
  <si>
    <t>Szacowana liczba startupów finansujących się środkami zewnętrznymi, Szacowana liczba startupów zainteresowana pozyskaniem finansowania kapitałowego oraz szacowany odsetek startupów w fazie wzrostu - wyliczone na podstawie Startup Poland 2015-2018; https://www.home.startuppoland.org/#reports</t>
  </si>
  <si>
    <t xml:space="preserve">Wartość i liczba transakcji na rynku venture capital w Polsce z podziałem na fundusze prywatne i fundusze z udziałem środków publicznych - wg. PRF Ventures, Inovo 2020; https://pfrventures.pl/media/uploads/raport_o_transakcjach_vc_2019.pdf  </t>
  </si>
  <si>
    <t>%</t>
  </si>
  <si>
    <t>Odsetek zapotrzebowania na finansowanie kapitałowe - faza wzrostu</t>
  </si>
  <si>
    <t>Odsetek zapotrzebowania na finansowanie kapitałowe - faza wczesna</t>
  </si>
  <si>
    <t>Watość zapotrzebowania - faza wzrostu</t>
  </si>
  <si>
    <t>Watość zapotrzebowania - faza wzrostu2</t>
  </si>
  <si>
    <t>Odsetek uzyskujących finansowanie</t>
  </si>
  <si>
    <t>Uzyskane finansowanie - faza wzrostu</t>
  </si>
  <si>
    <t>Uzyskane finansowanie - faza wczesna</t>
  </si>
  <si>
    <t>Luka kapitałowa - faza wzrostu</t>
  </si>
  <si>
    <t>Luka kapitałowa - faza wczesna</t>
  </si>
  <si>
    <t>Odsetek zapotrzebowania na finansowanie kapitałowe obliczono jako wartość zapotrzebowania na rok 2020 / Nakłady łącznie MŚP</t>
  </si>
  <si>
    <t>Nakłady łącznie MŚP (w mln zł)</t>
  </si>
  <si>
    <t>Wyliczenia w oparciu o z dane z zakładki 5.1.4 Luka kapitał oraz 5.1.1 Nakłady razem</t>
  </si>
  <si>
    <t>Luka kapitałowa - razem</t>
  </si>
  <si>
    <t>Szacowana liczba przedsiębiorstw niefinansowych - na podstawie zakładki 5.1.3 Przeds. Niefinansowe</t>
  </si>
  <si>
    <t>Odsetek oraz średni odsetek firm planujących inwestycje - na podstawie zakładki 5.1.3  Plany inwestycyjne</t>
  </si>
  <si>
    <t>Prognozowane nakłady - na podstawie zakładki - 5.1.1 Nakłady razem</t>
  </si>
  <si>
    <t>Odsetek i średni odsetek firm ubiegających się o kredyt oraz odsetek i średni odsetek odrzuconych wniosków - na podstawie NBP: https://www.nbp.pl/home.aspx?c=/ascx/koniunktura_prezentacja.ascx</t>
  </si>
  <si>
    <t>Odsetek i średni odsetek firm deklarującychbrak odpowiedniech zabezpieczenia kredytu - na podstawie BGK:https://www.bgk.pl/przedsiebiorstwa/poreczenia-i-gwarancje/gwarancje-de-minimis/ (Zakładka Analizy i badania)</t>
  </si>
  <si>
    <t>Wartość mnożnika wyliczono na podstawie KSFP: https://ksfp.org.pl/publikacje/raporty/</t>
  </si>
  <si>
    <t>PKB (-2,8%)</t>
  </si>
  <si>
    <t xml:space="preserve">Dane PKB za 2018 r. i 2019 r. na podstawie GUS BDL: </t>
  </si>
  <si>
    <t>Prognoza PKB na 2020 r. wyliczona na wstępnego szacunku PKB w 2020 roku (GUS)</t>
  </si>
  <si>
    <t>https://stat.gov.pl/obszary-tematyczne/rachunki-narodowe/roczne-rachunki-narodowe/produkt-krajowy-brutto-w-2020-roku-szacunek-wstepny,2,10.html</t>
  </si>
  <si>
    <t xml:space="preserve">PKB </t>
  </si>
  <si>
    <t>https://stat.gov.pl/obszary-tematyczne/nauka-i-technika-spoleczenstwo-informacyjne/nauka-i-technika/dzialalnosc-badawcza-i-rozwojowa-w-polsce-w-2019-roku,8,9.html</t>
  </si>
  <si>
    <t>Udział nakładów B+R w relacji do PKB w 2019 na podstawie GUS:</t>
  </si>
  <si>
    <t>Udział nakładów B+R w relacji do PKB w 2020 - analogicznie</t>
  </si>
  <si>
    <t>Finansowanie zew. inw-obr. (29,7%) MŚP</t>
  </si>
  <si>
    <t>Finansowanie zew. inw-obr. (29,7%) Duże</t>
  </si>
  <si>
    <t>Finansowanie zew. B+R (22,6%) MŚP</t>
  </si>
  <si>
    <t>Finansowanie zew. inw-obr. (29,7%) Razem</t>
  </si>
  <si>
    <t>Finansowanie zew. B+R (22,6%) Duże</t>
  </si>
  <si>
    <t>Finansowanie zew. B+R (22,6%) Razem</t>
  </si>
  <si>
    <t>Udział przedsiębiorstw planujących inwestycje na najbliższe 3 lata (w %) - dla roku 2020</t>
  </si>
  <si>
    <t xml:space="preserve"> Udział dla Województwa Wielkopolskiego: </t>
  </si>
  <si>
    <t>PKB (+3,3%)</t>
  </si>
  <si>
    <t>PKB (+3,5%)2</t>
  </si>
  <si>
    <t>PKB (+3,5%)</t>
  </si>
  <si>
    <t>PKB (+3,5%)3</t>
  </si>
  <si>
    <t>PKB (+3,5%)4</t>
  </si>
  <si>
    <t>PKB (+3,5%)5</t>
  </si>
  <si>
    <t>PKB (+3,5%)6</t>
  </si>
  <si>
    <t>PKB (+3,5%)7</t>
  </si>
  <si>
    <t>PKB (+3,5%)8</t>
  </si>
  <si>
    <t>PKB (+3,5%)9</t>
  </si>
  <si>
    <t>Do wyliczeń uwzględniono działania / instrumenty finansowe dedykowane MŚP z przeznaczeniem na finansowanie inwestycji, OZE, B+R. Wyliczeń dokonano w poszczególnych kategoriach przedsiębiorstw.</t>
  </si>
  <si>
    <t>Luka kapitałowa - Wielkopolska</t>
  </si>
  <si>
    <t>Luka kapitałowa łącznie 2020</t>
  </si>
  <si>
    <t>Ekstrapolacja trendu do 2030</t>
  </si>
  <si>
    <t>Oszacowana wartość dla 2030</t>
  </si>
  <si>
    <t>Ekstrapolacja do 2030 - luka</t>
  </si>
  <si>
    <t>Ekstrapolacja do 2030 - współczynniki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</si>
</sst>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_-* #,##0\ _z_ł_-;\-* #,##0\ _z_ł_-;_-* &quot;-&quot;??\ _z_ł_-;_-@_-"/>
    <numFmt numFmtId="166" formatCode="0.0%"/>
    <numFmt numFmtId="167" formatCode="_-* #,##0.0\ _z_ł_-;\-* #,##0.0\ _z_ł_-;_-* &quot;-&quot;??\ _z_ł_-;_-@_-"/>
    <numFmt numFmtId="168" formatCode="0.000%"/>
  </numFmts>
  <fonts count="22" x14ac:knownFonts="1">
    <font>
      <sz val="11"/>
      <name val="Calibri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u/>
      <sz val="11"/>
      <color theme="10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15"/>
      <color theme="3"/>
      <name val="Calibri"/>
      <family val="2"/>
      <charset val="238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4472C4"/>
      </left>
      <right style="medium">
        <color rgb="FF4472C4"/>
      </right>
      <top style="medium">
        <color rgb="FF4472C4"/>
      </top>
      <bottom style="thick">
        <color rgb="FF4472C4"/>
      </bottom>
      <diagonal/>
    </border>
    <border>
      <left/>
      <right style="medium">
        <color rgb="FF4472C4"/>
      </right>
      <top style="medium">
        <color rgb="FF4472C4"/>
      </top>
      <bottom style="thick">
        <color rgb="FF4472C4"/>
      </bottom>
      <diagonal/>
    </border>
    <border>
      <left style="medium">
        <color rgb="FF4472C4"/>
      </left>
      <right style="medium">
        <color rgb="FF4472C4"/>
      </right>
      <top/>
      <bottom style="medium">
        <color rgb="FF4472C4"/>
      </bottom>
      <diagonal/>
    </border>
    <border>
      <left/>
      <right style="medium">
        <color rgb="FF4472C4"/>
      </right>
      <top/>
      <bottom style="medium">
        <color rgb="FF4472C4"/>
      </bottom>
      <diagonal/>
    </border>
    <border>
      <left/>
      <right/>
      <top/>
      <bottom style="medium">
        <color rgb="FF4472C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/>
      <bottom style="thick">
        <color theme="4"/>
      </bottom>
      <diagonal/>
    </border>
    <border>
      <left/>
      <right style="thin">
        <color indexed="64"/>
      </right>
      <top/>
      <bottom/>
      <diagonal/>
    </border>
    <border>
      <left style="medium">
        <color rgb="FF4472C4"/>
      </left>
      <right style="medium">
        <color rgb="FF4472C4"/>
      </right>
      <top/>
      <bottom/>
      <diagonal/>
    </border>
    <border>
      <left/>
      <right style="medium">
        <color rgb="FF4472C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11">
    <xf numFmtId="0" fontId="0" fillId="0" borderId="0"/>
    <xf numFmtId="0" fontId="2" fillId="2" borderId="1">
      <alignment horizontal="left" vertical="center" wrapText="1"/>
    </xf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3" fillId="0" borderId="0"/>
    <xf numFmtId="0" fontId="11" fillId="0" borderId="30" applyNumberFormat="0" applyFill="0" applyAlignment="0" applyProtection="0"/>
    <xf numFmtId="0" fontId="17" fillId="2" borderId="1">
      <alignment horizontal="left" vertical="center" wrapText="1"/>
    </xf>
  </cellStyleXfs>
  <cellXfs count="333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9" fontId="2" fillId="0" borderId="4" xfId="1" applyNumberFormat="1" applyFont="1" applyFill="1" applyBorder="1" applyAlignment="1">
      <alignment horizontal="center" vertical="center" wrapText="1"/>
    </xf>
    <xf numFmtId="9" fontId="0" fillId="0" borderId="16" xfId="3" applyNumberFormat="1" applyFont="1" applyBorder="1" applyAlignment="1">
      <alignment horizontal="right" vertical="center"/>
    </xf>
    <xf numFmtId="9" fontId="0" fillId="0" borderId="18" xfId="3" applyNumberFormat="1" applyFont="1" applyBorder="1" applyAlignment="1">
      <alignment horizontal="right" vertical="center"/>
    </xf>
    <xf numFmtId="9" fontId="0" fillId="0" borderId="4" xfId="3" applyNumberFormat="1" applyFont="1" applyBorder="1" applyAlignment="1">
      <alignment horizontal="right" vertical="center"/>
    </xf>
    <xf numFmtId="9" fontId="0" fillId="0" borderId="6" xfId="3" applyNumberFormat="1" applyFont="1" applyBorder="1" applyAlignment="1">
      <alignment horizontal="right" vertical="center"/>
    </xf>
    <xf numFmtId="0" fontId="0" fillId="0" borderId="0" xfId="0" applyFill="1" applyBorder="1" applyAlignment="1">
      <alignment horizontal="center"/>
    </xf>
    <xf numFmtId="165" fontId="0" fillId="0" borderId="0" xfId="2" applyNumberFormat="1" applyFont="1"/>
    <xf numFmtId="165" fontId="0" fillId="0" borderId="0" xfId="0" applyNumberFormat="1"/>
    <xf numFmtId="165" fontId="0" fillId="0" borderId="0" xfId="2" applyNumberFormat="1" applyFont="1" applyBorder="1"/>
    <xf numFmtId="0" fontId="0" fillId="0" borderId="7" xfId="0" applyBorder="1" applyAlignment="1">
      <alignment vertical="top" wrapText="1"/>
    </xf>
    <xf numFmtId="165" fontId="0" fillId="0" borderId="0" xfId="2" applyNumberFormat="1" applyFont="1" applyFill="1" applyBorder="1"/>
    <xf numFmtId="0" fontId="3" fillId="0" borderId="0" xfId="8"/>
    <xf numFmtId="9" fontId="0" fillId="0" borderId="0" xfId="0" applyNumberFormat="1"/>
    <xf numFmtId="166" fontId="0" fillId="0" borderId="0" xfId="6" applyNumberFormat="1" applyFont="1"/>
    <xf numFmtId="10" fontId="0" fillId="0" borderId="0" xfId="6" applyNumberFormat="1" applyFont="1"/>
    <xf numFmtId="0" fontId="0" fillId="0" borderId="0" xfId="0" applyAlignment="1">
      <alignment horizontal="center"/>
    </xf>
    <xf numFmtId="9" fontId="0" fillId="0" borderId="4" xfId="3" applyFont="1" applyFill="1" applyBorder="1" applyAlignment="1">
      <alignment horizontal="center" vertical="center"/>
    </xf>
    <xf numFmtId="9" fontId="0" fillId="0" borderId="0" xfId="3" applyFont="1"/>
    <xf numFmtId="9" fontId="10" fillId="0" borderId="0" xfId="3" applyFont="1"/>
    <xf numFmtId="10" fontId="0" fillId="0" borderId="0" xfId="3" applyNumberFormat="1" applyFont="1"/>
    <xf numFmtId="3" fontId="0" fillId="0" borderId="0" xfId="0" applyNumberFormat="1"/>
    <xf numFmtId="165" fontId="0" fillId="0" borderId="14" xfId="5" applyNumberFormat="1" applyFont="1" applyFill="1" applyBorder="1" applyAlignment="1" applyProtection="1">
      <alignment horizontal="center" vertical="center"/>
      <protection locked="0"/>
    </xf>
    <xf numFmtId="2" fontId="0" fillId="0" borderId="0" xfId="3" applyNumberFormat="1" applyFont="1"/>
    <xf numFmtId="0" fontId="3" fillId="0" borderId="8" xfId="8" applyBorder="1"/>
    <xf numFmtId="0" fontId="3" fillId="0" borderId="6" xfId="8" applyBorder="1"/>
    <xf numFmtId="0" fontId="3" fillId="0" borderId="7" xfId="8" applyBorder="1"/>
    <xf numFmtId="0" fontId="7" fillId="0" borderId="6" xfId="4" applyBorder="1"/>
    <xf numFmtId="0" fontId="0" fillId="0" borderId="8" xfId="0" applyBorder="1"/>
    <xf numFmtId="0" fontId="0" fillId="0" borderId="7" xfId="0" applyBorder="1"/>
    <xf numFmtId="0" fontId="3" fillId="0" borderId="6" xfId="0" applyFont="1" applyBorder="1"/>
    <xf numFmtId="0" fontId="3" fillId="0" borderId="4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9" fontId="0" fillId="0" borderId="15" xfId="3" applyFont="1" applyFill="1" applyBorder="1" applyAlignment="1">
      <alignment horizontal="center" vertical="center"/>
    </xf>
    <xf numFmtId="9" fontId="0" fillId="0" borderId="24" xfId="3" applyFont="1" applyFill="1" applyBorder="1" applyAlignment="1">
      <alignment horizontal="center" vertical="center"/>
    </xf>
    <xf numFmtId="9" fontId="0" fillId="0" borderId="16" xfId="3" applyFont="1" applyFill="1" applyBorder="1" applyAlignment="1">
      <alignment horizontal="center" vertical="center"/>
    </xf>
    <xf numFmtId="165" fontId="0" fillId="0" borderId="15" xfId="5" applyNumberFormat="1" applyFont="1" applyFill="1" applyBorder="1" applyAlignment="1" applyProtection="1">
      <alignment horizontal="center" vertical="center"/>
      <protection locked="0"/>
    </xf>
    <xf numFmtId="165" fontId="0" fillId="0" borderId="4" xfId="2" applyNumberFormat="1" applyFont="1" applyFill="1" applyBorder="1"/>
    <xf numFmtId="0" fontId="0" fillId="0" borderId="0" xfId="0" applyFill="1"/>
    <xf numFmtId="165" fontId="0" fillId="0" borderId="6" xfId="2" applyNumberFormat="1" applyFont="1" applyFill="1" applyBorder="1"/>
    <xf numFmtId="165" fontId="0" fillId="0" borderId="15" xfId="2" applyNumberFormat="1" applyFont="1" applyFill="1" applyBorder="1"/>
    <xf numFmtId="165" fontId="0" fillId="0" borderId="14" xfId="2" applyNumberFormat="1" applyFont="1" applyFill="1" applyBorder="1"/>
    <xf numFmtId="0" fontId="13" fillId="0" borderId="17" xfId="0" applyFont="1" applyFill="1" applyBorder="1" applyAlignment="1">
      <alignment horizontal="right"/>
    </xf>
    <xf numFmtId="165" fontId="13" fillId="0" borderId="15" xfId="2" applyNumberFormat="1" applyFont="1" applyFill="1" applyBorder="1"/>
    <xf numFmtId="165" fontId="13" fillId="0" borderId="14" xfId="2" applyNumberFormat="1" applyFont="1" applyFill="1" applyBorder="1"/>
    <xf numFmtId="0" fontId="3" fillId="0" borderId="6" xfId="0" applyFont="1" applyFill="1" applyBorder="1"/>
    <xf numFmtId="0" fontId="0" fillId="0" borderId="0" xfId="0" applyAlignment="1">
      <alignment wrapText="1"/>
    </xf>
    <xf numFmtId="0" fontId="15" fillId="0" borderId="24" xfId="0" applyFont="1" applyBorder="1" applyAlignment="1">
      <alignment horizontal="center" vertical="center"/>
    </xf>
    <xf numFmtId="0" fontId="15" fillId="0" borderId="4" xfId="0" applyFont="1" applyFill="1" applyBorder="1" applyAlignment="1">
      <alignment horizontal="justify" vertical="center"/>
    </xf>
    <xf numFmtId="0" fontId="15" fillId="0" borderId="30" xfId="9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3" fontId="13" fillId="0" borderId="28" xfId="0" applyNumberFormat="1" applyFont="1" applyFill="1" applyBorder="1" applyAlignment="1">
      <alignment horizontal="justify" vertical="center"/>
    </xf>
    <xf numFmtId="3" fontId="13" fillId="0" borderId="29" xfId="0" applyNumberFormat="1" applyFont="1" applyFill="1" applyBorder="1" applyAlignment="1">
      <alignment horizontal="justify" vertical="center"/>
    </xf>
    <xf numFmtId="3" fontId="13" fillId="0" borderId="4" xfId="0" applyNumberFormat="1" applyFont="1" applyFill="1" applyBorder="1" applyAlignment="1">
      <alignment horizontal="justify" vertical="center"/>
    </xf>
    <xf numFmtId="3" fontId="13" fillId="0" borderId="16" xfId="0" applyNumberFormat="1" applyFont="1" applyFill="1" applyBorder="1" applyAlignment="1">
      <alignment horizontal="justify" vertical="center"/>
    </xf>
    <xf numFmtId="3" fontId="13" fillId="0" borderId="4" xfId="0" applyNumberFormat="1" applyFont="1" applyFill="1" applyBorder="1"/>
    <xf numFmtId="3" fontId="13" fillId="0" borderId="16" xfId="0" applyNumberFormat="1" applyFont="1" applyFill="1" applyBorder="1"/>
    <xf numFmtId="3" fontId="13" fillId="0" borderId="18" xfId="0" applyNumberFormat="1" applyFont="1" applyFill="1" applyBorder="1"/>
    <xf numFmtId="3" fontId="13" fillId="0" borderId="4" xfId="0" applyNumberFormat="1" applyFont="1" applyFill="1" applyBorder="1" applyAlignment="1">
      <alignment vertical="center" wrapText="1"/>
    </xf>
    <xf numFmtId="3" fontId="13" fillId="0" borderId="4" xfId="0" applyNumberFormat="1" applyFont="1" applyFill="1" applyBorder="1" applyAlignment="1">
      <alignment horizontal="right" vertical="center" wrapText="1"/>
    </xf>
    <xf numFmtId="165" fontId="13" fillId="0" borderId="4" xfId="2" applyNumberFormat="1" applyFont="1" applyFill="1" applyBorder="1"/>
    <xf numFmtId="165" fontId="13" fillId="0" borderId="4" xfId="0" applyNumberFormat="1" applyFont="1" applyFill="1" applyBorder="1"/>
    <xf numFmtId="165" fontId="13" fillId="0" borderId="6" xfId="0" applyNumberFormat="1" applyFont="1" applyFill="1" applyBorder="1"/>
    <xf numFmtId="0" fontId="15" fillId="0" borderId="1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justify" vertical="center"/>
    </xf>
    <xf numFmtId="0" fontId="15" fillId="0" borderId="27" xfId="0" applyFont="1" applyFill="1" applyBorder="1" applyAlignment="1">
      <alignment horizontal="justify" vertical="center"/>
    </xf>
    <xf numFmtId="3" fontId="16" fillId="0" borderId="16" xfId="0" applyNumberFormat="1" applyFont="1" applyFill="1" applyBorder="1"/>
    <xf numFmtId="0" fontId="15" fillId="0" borderId="16" xfId="0" applyFont="1" applyBorder="1" applyAlignment="1">
      <alignment horizontal="justify" vertical="center"/>
    </xf>
    <xf numFmtId="0" fontId="15" fillId="0" borderId="16" xfId="0" applyFont="1" applyFill="1" applyBorder="1" applyAlignment="1">
      <alignment horizontal="justify" vertical="center"/>
    </xf>
    <xf numFmtId="0" fontId="15" fillId="0" borderId="4" xfId="9" applyFont="1" applyBorder="1" applyAlignment="1">
      <alignment horizontal="center" vertical="center" wrapText="1"/>
    </xf>
    <xf numFmtId="0" fontId="15" fillId="0" borderId="4" xfId="9" applyFont="1" applyBorder="1" applyAlignment="1">
      <alignment vertical="center" wrapText="1"/>
    </xf>
    <xf numFmtId="0" fontId="15" fillId="0" borderId="4" xfId="9" applyFont="1" applyFill="1" applyBorder="1" applyAlignment="1">
      <alignment vertical="center" wrapText="1"/>
    </xf>
    <xf numFmtId="0" fontId="15" fillId="0" borderId="4" xfId="9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8" xfId="1" applyNumberFormat="1" applyFont="1" applyFill="1" applyBorder="1" applyAlignment="1">
      <alignment horizontal="left" vertical="center" wrapText="1"/>
    </xf>
    <xf numFmtId="0" fontId="0" fillId="0" borderId="20" xfId="0" applyBorder="1" applyAlignment="1">
      <alignment horizontal="right" wrapText="1"/>
    </xf>
    <xf numFmtId="0" fontId="0" fillId="0" borderId="8" xfId="0" applyBorder="1" applyAlignment="1">
      <alignment horizontal="right" wrapText="1"/>
    </xf>
    <xf numFmtId="0" fontId="6" fillId="0" borderId="17" xfId="0" applyFont="1" applyBorder="1" applyAlignment="1">
      <alignment wrapText="1"/>
    </xf>
    <xf numFmtId="9" fontId="0" fillId="0" borderId="15" xfId="3" applyNumberFormat="1" applyFont="1" applyBorder="1" applyAlignment="1">
      <alignment horizontal="center" vertical="center"/>
    </xf>
    <xf numFmtId="9" fontId="0" fillId="0" borderId="14" xfId="3" applyNumberFormat="1" applyFont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 wrapText="1"/>
    </xf>
    <xf numFmtId="0" fontId="5" fillId="0" borderId="18" xfId="1" applyNumberFormat="1" applyFont="1" applyFill="1" applyBorder="1" applyAlignment="1">
      <alignment horizontal="center" vertical="center" wrapText="1"/>
    </xf>
    <xf numFmtId="0" fontId="5" fillId="0" borderId="19" xfId="1" applyNumberFormat="1" applyFont="1" applyFill="1" applyBorder="1" applyAlignment="1">
      <alignment horizontal="center" vertical="center" wrapText="1"/>
    </xf>
    <xf numFmtId="0" fontId="5" fillId="0" borderId="20" xfId="1" applyNumberFormat="1" applyFont="1" applyFill="1" applyBorder="1" applyAlignment="1">
      <alignment horizontal="center" vertical="center" wrapText="1"/>
    </xf>
    <xf numFmtId="0" fontId="5" fillId="0" borderId="10" xfId="1" applyNumberFormat="1" applyFont="1" applyFill="1" applyBorder="1" applyAlignment="1">
      <alignment horizontal="center" vertical="center" wrapText="1"/>
    </xf>
    <xf numFmtId="0" fontId="5" fillId="0" borderId="11" xfId="1" applyNumberFormat="1" applyFont="1" applyFill="1" applyBorder="1" applyAlignment="1">
      <alignment horizontal="center" vertical="center" wrapText="1"/>
    </xf>
    <xf numFmtId="0" fontId="5" fillId="0" borderId="3" xfId="1" applyNumberFormat="1" applyFont="1" applyFill="1" applyBorder="1" applyAlignment="1">
      <alignment horizontal="center" vertical="center" wrapText="1"/>
    </xf>
    <xf numFmtId="0" fontId="5" fillId="0" borderId="22" xfId="1" applyNumberFormat="1" applyFont="1" applyFill="1" applyBorder="1" applyAlignment="1">
      <alignment horizontal="center" vertical="center" wrapText="1"/>
    </xf>
    <xf numFmtId="0" fontId="5" fillId="0" borderId="23" xfId="1" applyNumberFormat="1" applyFont="1" applyFill="1" applyBorder="1" applyAlignment="1">
      <alignment horizontal="center" vertical="center" wrapText="1"/>
    </xf>
    <xf numFmtId="0" fontId="5" fillId="0" borderId="21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15" xfId="1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9" fontId="0" fillId="0" borderId="0" xfId="3" applyNumberFormat="1" applyFont="1" applyBorder="1" applyAlignment="1">
      <alignment horizontal="center" vertical="center"/>
    </xf>
    <xf numFmtId="9" fontId="0" fillId="0" borderId="7" xfId="3" applyNumberFormat="1" applyFont="1" applyBorder="1" applyAlignment="1">
      <alignment horizontal="center" vertical="center"/>
    </xf>
    <xf numFmtId="0" fontId="3" fillId="0" borderId="6" xfId="0" applyFont="1" applyBorder="1" applyAlignment="1"/>
    <xf numFmtId="9" fontId="2" fillId="0" borderId="16" xfId="1" applyNumberFormat="1" applyFont="1" applyFill="1" applyBorder="1" applyAlignment="1">
      <alignment horizontal="center" vertical="center" wrapText="1"/>
    </xf>
    <xf numFmtId="9" fontId="2" fillId="0" borderId="15" xfId="1" applyNumberFormat="1" applyFont="1" applyFill="1" applyBorder="1" applyAlignment="1">
      <alignment horizontal="center" vertical="center" wrapText="1"/>
    </xf>
    <xf numFmtId="9" fontId="2" fillId="0" borderId="0" xfId="1" applyNumberFormat="1" applyFont="1" applyFill="1" applyBorder="1" applyAlignment="1">
      <alignment horizontal="center" vertical="center" wrapText="1"/>
    </xf>
    <xf numFmtId="9" fontId="2" fillId="0" borderId="7" xfId="1" applyNumberFormat="1" applyFont="1" applyFill="1" applyBorder="1" applyAlignment="1">
      <alignment horizontal="center" vertical="center" wrapText="1"/>
    </xf>
    <xf numFmtId="9" fontId="2" fillId="0" borderId="8" xfId="1" applyNumberFormat="1" applyFont="1" applyFill="1" applyBorder="1" applyAlignment="1">
      <alignment horizontal="center" vertical="center" wrapText="1"/>
    </xf>
    <xf numFmtId="10" fontId="0" fillId="0" borderId="0" xfId="3" applyNumberFormat="1" applyFont="1" applyBorder="1"/>
    <xf numFmtId="165" fontId="0" fillId="0" borderId="7" xfId="2" applyNumberFormat="1" applyFont="1" applyBorder="1"/>
    <xf numFmtId="10" fontId="0" fillId="0" borderId="7" xfId="3" applyNumberFormat="1" applyFont="1" applyBorder="1"/>
    <xf numFmtId="10" fontId="0" fillId="0" borderId="8" xfId="3" applyNumberFormat="1" applyFont="1" applyBorder="1"/>
    <xf numFmtId="0" fontId="3" fillId="0" borderId="0" xfId="0" applyFont="1" applyBorder="1"/>
    <xf numFmtId="0" fontId="12" fillId="0" borderId="8" xfId="1" applyNumberFormat="1" applyFont="1" applyFill="1" applyBorder="1">
      <alignment horizontal="left" vertical="center" wrapText="1"/>
    </xf>
    <xf numFmtId="0" fontId="12" fillId="0" borderId="4" xfId="1" applyNumberFormat="1" applyFont="1" applyFill="1" applyBorder="1">
      <alignment horizontal="left" vertical="center" wrapText="1"/>
    </xf>
    <xf numFmtId="0" fontId="13" fillId="0" borderId="4" xfId="8" applyFont="1" applyFill="1" applyBorder="1"/>
    <xf numFmtId="0" fontId="13" fillId="0" borderId="6" xfId="8" applyFont="1" applyFill="1" applyBorder="1"/>
    <xf numFmtId="0" fontId="13" fillId="0" borderId="8" xfId="8" applyFont="1" applyFill="1" applyBorder="1"/>
    <xf numFmtId="3" fontId="13" fillId="0" borderId="4" xfId="8" applyNumberFormat="1" applyFont="1" applyFill="1" applyBorder="1"/>
    <xf numFmtId="3" fontId="13" fillId="0" borderId="6" xfId="8" applyNumberFormat="1" applyFont="1" applyFill="1" applyBorder="1"/>
    <xf numFmtId="0" fontId="13" fillId="0" borderId="17" xfId="8" applyFont="1" applyFill="1" applyBorder="1"/>
    <xf numFmtId="3" fontId="13" fillId="0" borderId="15" xfId="8" applyNumberFormat="1" applyFont="1" applyFill="1" applyBorder="1"/>
    <xf numFmtId="3" fontId="13" fillId="0" borderId="14" xfId="8" applyNumberFormat="1" applyFont="1" applyFill="1" applyBorder="1"/>
    <xf numFmtId="10" fontId="13" fillId="0" borderId="4" xfId="8" applyNumberFormat="1" applyFont="1" applyFill="1" applyBorder="1" applyAlignment="1">
      <alignment wrapText="1"/>
    </xf>
    <xf numFmtId="0" fontId="13" fillId="0" borderId="8" xfId="0" applyFont="1" applyFill="1" applyBorder="1"/>
    <xf numFmtId="9" fontId="13" fillId="0" borderId="4" xfId="3" applyFont="1" applyFill="1" applyBorder="1"/>
    <xf numFmtId="165" fontId="13" fillId="0" borderId="6" xfId="2" applyNumberFormat="1" applyFont="1" applyFill="1" applyBorder="1"/>
    <xf numFmtId="0" fontId="13" fillId="0" borderId="17" xfId="0" applyFont="1" applyFill="1" applyBorder="1"/>
    <xf numFmtId="9" fontId="13" fillId="0" borderId="15" xfId="3" applyFont="1" applyFill="1" applyBorder="1"/>
    <xf numFmtId="0" fontId="3" fillId="0" borderId="9" xfId="0" applyFont="1" applyFill="1" applyBorder="1" applyAlignment="1">
      <alignment horizontal="center"/>
    </xf>
    <xf numFmtId="0" fontId="5" fillId="0" borderId="8" xfId="1" applyNumberFormat="1" applyFont="1" applyFill="1" applyBorder="1" applyAlignment="1">
      <alignment horizontal="center" vertical="center" wrapText="1"/>
    </xf>
    <xf numFmtId="0" fontId="5" fillId="0" borderId="6" xfId="1" applyNumberFormat="1" applyFont="1" applyFill="1" applyBorder="1" applyAlignment="1">
      <alignment horizontal="center" vertical="center" wrapText="1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center" vertical="center" wrapText="1"/>
    </xf>
    <xf numFmtId="0" fontId="5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12" xfId="1" applyNumberFormat="1" applyFont="1" applyFill="1" applyBorder="1" applyAlignment="1">
      <alignment horizontal="center" vertical="center" wrapText="1"/>
    </xf>
    <xf numFmtId="0" fontId="0" fillId="0" borderId="8" xfId="0" applyFill="1" applyBorder="1"/>
    <xf numFmtId="10" fontId="0" fillId="0" borderId="4" xfId="3" applyNumberFormat="1" applyFont="1" applyFill="1" applyBorder="1"/>
    <xf numFmtId="0" fontId="0" fillId="0" borderId="17" xfId="0" applyFill="1" applyBorder="1"/>
    <xf numFmtId="10" fontId="0" fillId="0" borderId="15" xfId="3" applyNumberFormat="1" applyFont="1" applyFill="1" applyBorder="1"/>
    <xf numFmtId="0" fontId="15" fillId="0" borderId="30" xfId="9" applyNumberFormat="1" applyFont="1" applyFill="1" applyAlignment="1">
      <alignment horizontal="center" vertical="center" wrapText="1"/>
    </xf>
    <xf numFmtId="0" fontId="15" fillId="0" borderId="31" xfId="9" applyNumberFormat="1" applyFont="1" applyFill="1" applyBorder="1" applyAlignment="1">
      <alignment horizontal="center" vertical="center" wrapText="1"/>
    </xf>
    <xf numFmtId="164" fontId="15" fillId="0" borderId="30" xfId="9" applyNumberFormat="1" applyFont="1" applyAlignment="1">
      <alignment horizontal="center" vertical="center" wrapText="1"/>
    </xf>
    <xf numFmtId="0" fontId="15" fillId="0" borderId="25" xfId="0" applyFont="1" applyFill="1" applyBorder="1" applyAlignment="1">
      <alignment horizontal="justify" vertical="center"/>
    </xf>
    <xf numFmtId="0" fontId="15" fillId="0" borderId="26" xfId="0" applyFont="1" applyFill="1" applyBorder="1" applyAlignment="1">
      <alignment horizontal="justify" vertical="center"/>
    </xf>
    <xf numFmtId="3" fontId="13" fillId="0" borderId="25" xfId="0" applyNumberFormat="1" applyFont="1" applyFill="1" applyBorder="1" applyAlignment="1">
      <alignment horizontal="justify" vertical="center"/>
    </xf>
    <xf numFmtId="3" fontId="13" fillId="0" borderId="26" xfId="0" applyNumberFormat="1" applyFont="1" applyFill="1" applyBorder="1" applyAlignment="1">
      <alignment horizontal="justify" vertical="center"/>
    </xf>
    <xf numFmtId="0" fontId="15" fillId="0" borderId="33" xfId="0" applyFont="1" applyFill="1" applyBorder="1" applyAlignment="1">
      <alignment horizontal="justify" vertical="center"/>
    </xf>
    <xf numFmtId="3" fontId="13" fillId="0" borderId="34" xfId="0" applyNumberFormat="1" applyFont="1" applyFill="1" applyBorder="1" applyAlignment="1">
      <alignment horizontal="justify" vertical="center"/>
    </xf>
    <xf numFmtId="9" fontId="13" fillId="0" borderId="34" xfId="0" applyNumberFormat="1" applyFont="1" applyFill="1" applyBorder="1" applyAlignment="1">
      <alignment horizontal="justify" vertical="center"/>
    </xf>
    <xf numFmtId="3" fontId="15" fillId="0" borderId="33" xfId="0" applyNumberFormat="1" applyFont="1" applyFill="1" applyBorder="1" applyAlignment="1">
      <alignment horizontal="justify" vertical="center"/>
    </xf>
    <xf numFmtId="3" fontId="13" fillId="0" borderId="33" xfId="0" applyNumberFormat="1" applyFont="1" applyFill="1" applyBorder="1" applyAlignment="1">
      <alignment horizontal="justify" vertical="center"/>
    </xf>
    <xf numFmtId="3" fontId="0" fillId="0" borderId="0" xfId="0" applyNumberFormat="1" applyFont="1" applyBorder="1"/>
    <xf numFmtId="3" fontId="0" fillId="0" borderId="0" xfId="0" applyNumberFormat="1" applyFont="1" applyBorder="1" applyAlignment="1">
      <alignment horizontal="center" vertical="center"/>
    </xf>
    <xf numFmtId="3" fontId="0" fillId="0" borderId="7" xfId="0" applyNumberFormat="1" applyFont="1" applyBorder="1"/>
    <xf numFmtId="3" fontId="0" fillId="0" borderId="7" xfId="0" applyNumberFormat="1" applyFont="1" applyBorder="1" applyAlignment="1">
      <alignment horizontal="center" vertical="center"/>
    </xf>
    <xf numFmtId="3" fontId="0" fillId="0" borderId="8" xfId="0" applyNumberFormat="1" applyFont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3" fontId="0" fillId="0" borderId="4" xfId="0" applyNumberFormat="1" applyFont="1" applyFill="1" applyBorder="1"/>
    <xf numFmtId="3" fontId="0" fillId="0" borderId="4" xfId="0" applyNumberFormat="1" applyFont="1" applyFill="1" applyBorder="1" applyAlignment="1">
      <alignment horizontal="center"/>
    </xf>
    <xf numFmtId="3" fontId="0" fillId="0" borderId="15" xfId="0" applyNumberFormat="1" applyFont="1" applyFill="1" applyBorder="1"/>
    <xf numFmtId="3" fontId="0" fillId="0" borderId="15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center"/>
    </xf>
    <xf numFmtId="3" fontId="0" fillId="0" borderId="7" xfId="0" applyNumberFormat="1" applyFont="1" applyFill="1" applyBorder="1"/>
    <xf numFmtId="3" fontId="0" fillId="0" borderId="7" xfId="0" applyNumberFormat="1" applyFont="1" applyFill="1" applyBorder="1" applyAlignment="1">
      <alignment horizontal="center"/>
    </xf>
    <xf numFmtId="165" fontId="0" fillId="0" borderId="7" xfId="2" applyNumberFormat="1" applyFont="1" applyFill="1" applyBorder="1"/>
    <xf numFmtId="165" fontId="0" fillId="0" borderId="8" xfId="2" applyNumberFormat="1" applyFont="1" applyFill="1" applyBorder="1"/>
    <xf numFmtId="0" fontId="3" fillId="0" borderId="0" xfId="0" applyFont="1" applyFill="1" applyBorder="1"/>
    <xf numFmtId="0" fontId="3" fillId="0" borderId="16" xfId="0" applyFont="1" applyFill="1" applyBorder="1" applyAlignment="1">
      <alignment horizontal="center" vertical="center"/>
    </xf>
    <xf numFmtId="0" fontId="5" fillId="0" borderId="4" xfId="1" applyNumberFormat="1" applyFont="1" applyFill="1" applyBorder="1" applyAlignment="1">
      <alignment vertical="center" wrapText="1"/>
    </xf>
    <xf numFmtId="0" fontId="8" fillId="0" borderId="2" xfId="1" applyNumberFormat="1" applyFont="1" applyFill="1" applyBorder="1" applyAlignment="1">
      <alignment horizontal="center" vertical="center" wrapText="1"/>
    </xf>
    <xf numFmtId="3" fontId="0" fillId="0" borderId="4" xfId="0" applyNumberFormat="1" applyFont="1" applyFill="1" applyBorder="1" applyAlignment="1">
      <alignment horizontal="center" vertical="center"/>
    </xf>
    <xf numFmtId="3" fontId="0" fillId="0" borderId="15" xfId="0" applyNumberFormat="1" applyFont="1" applyFill="1" applyBorder="1" applyAlignment="1">
      <alignment horizontal="center" vertical="center"/>
    </xf>
    <xf numFmtId="3" fontId="0" fillId="0" borderId="0" xfId="0" applyNumberFormat="1" applyFont="1" applyFill="1" applyBorder="1" applyAlignment="1">
      <alignment horizontal="center" vertical="center"/>
    </xf>
    <xf numFmtId="0" fontId="5" fillId="0" borderId="16" xfId="1" applyNumberFormat="1" applyFont="1" applyFill="1" applyBorder="1" applyAlignment="1">
      <alignment horizontal="center" vertical="center" wrapText="1"/>
    </xf>
    <xf numFmtId="0" fontId="15" fillId="0" borderId="8" xfId="1" applyNumberFormat="1" applyFont="1" applyFill="1" applyBorder="1" applyAlignment="1">
      <alignment horizontal="center" vertical="center" wrapText="1"/>
    </xf>
    <xf numFmtId="0" fontId="15" fillId="0" borderId="4" xfId="1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2" fontId="15" fillId="0" borderId="4" xfId="0" applyNumberFormat="1" applyFont="1" applyFill="1" applyBorder="1" applyAlignment="1">
      <alignment horizontal="center"/>
    </xf>
    <xf numFmtId="1" fontId="15" fillId="0" borderId="4" xfId="0" applyNumberFormat="1" applyFont="1" applyFill="1" applyBorder="1" applyAlignment="1">
      <alignment horizontal="center"/>
    </xf>
    <xf numFmtId="9" fontId="15" fillId="0" borderId="7" xfId="0" applyNumberFormat="1" applyFont="1" applyFill="1" applyBorder="1" applyAlignment="1">
      <alignment horizontal="center"/>
    </xf>
    <xf numFmtId="9" fontId="15" fillId="0" borderId="8" xfId="0" applyNumberFormat="1" applyFont="1" applyFill="1" applyBorder="1" applyAlignment="1">
      <alignment horizontal="center"/>
    </xf>
    <xf numFmtId="1" fontId="15" fillId="0" borderId="8" xfId="0" applyNumberFormat="1" applyFont="1" applyFill="1" applyBorder="1" applyAlignment="1">
      <alignment horizontal="center"/>
    </xf>
    <xf numFmtId="49" fontId="15" fillId="0" borderId="4" xfId="0" applyNumberFormat="1" applyFont="1" applyFill="1" applyBorder="1" applyAlignment="1">
      <alignment horizontal="center"/>
    </xf>
    <xf numFmtId="49" fontId="15" fillId="0" borderId="6" xfId="0" applyNumberFormat="1" applyFont="1" applyFill="1" applyBorder="1" applyAlignment="1">
      <alignment horizontal="center"/>
    </xf>
    <xf numFmtId="9" fontId="13" fillId="0" borderId="15" xfId="3" applyFont="1" applyFill="1" applyBorder="1" applyAlignment="1">
      <alignment horizontal="center" vertical="center"/>
    </xf>
    <xf numFmtId="167" fontId="13" fillId="0" borderId="4" xfId="2" applyNumberFormat="1" applyFont="1" applyFill="1" applyBorder="1"/>
    <xf numFmtId="165" fontId="13" fillId="0" borderId="16" xfId="0" applyNumberFormat="1" applyFont="1" applyFill="1" applyBorder="1"/>
    <xf numFmtId="165" fontId="13" fillId="0" borderId="16" xfId="2" applyNumberFormat="1" applyFont="1" applyFill="1" applyBorder="1"/>
    <xf numFmtId="167" fontId="13" fillId="0" borderId="15" xfId="0" applyNumberFormat="1" applyFont="1" applyFill="1" applyBorder="1" applyAlignment="1">
      <alignment horizontal="center" vertical="center"/>
    </xf>
    <xf numFmtId="165" fontId="13" fillId="0" borderId="18" xfId="0" applyNumberFormat="1" applyFont="1" applyFill="1" applyBorder="1"/>
    <xf numFmtId="9" fontId="13" fillId="0" borderId="24" xfId="3" applyFont="1" applyFill="1" applyBorder="1" applyAlignment="1">
      <alignment horizontal="center" vertical="center"/>
    </xf>
    <xf numFmtId="3" fontId="13" fillId="0" borderId="15" xfId="0" applyNumberFormat="1" applyFont="1" applyFill="1" applyBorder="1"/>
    <xf numFmtId="167" fontId="13" fillId="0" borderId="15" xfId="2" applyNumberFormat="1" applyFont="1" applyFill="1" applyBorder="1"/>
    <xf numFmtId="165" fontId="13" fillId="0" borderId="15" xfId="0" applyNumberFormat="1" applyFont="1" applyFill="1" applyBorder="1"/>
    <xf numFmtId="165" fontId="13" fillId="0" borderId="24" xfId="0" applyNumberFormat="1" applyFont="1" applyFill="1" applyBorder="1"/>
    <xf numFmtId="165" fontId="13" fillId="0" borderId="24" xfId="2" applyNumberFormat="1" applyFont="1" applyFill="1" applyBorder="1"/>
    <xf numFmtId="165" fontId="13" fillId="0" borderId="9" xfId="0" applyNumberFormat="1" applyFont="1" applyFill="1" applyBorder="1"/>
    <xf numFmtId="0" fontId="15" fillId="0" borderId="20" xfId="1" applyNumberFormat="1" applyFont="1" applyFill="1" applyBorder="1" applyAlignment="1">
      <alignment horizontal="center" vertical="center" wrapText="1"/>
    </xf>
    <xf numFmtId="0" fontId="15" fillId="0" borderId="16" xfId="1" applyNumberFormat="1" applyFont="1" applyFill="1" applyBorder="1" applyAlignment="1">
      <alignment horizontal="center" vertical="center" wrapText="1"/>
    </xf>
    <xf numFmtId="0" fontId="15" fillId="0" borderId="16" xfId="0" applyFont="1" applyFill="1" applyBorder="1"/>
    <xf numFmtId="0" fontId="15" fillId="0" borderId="32" xfId="0" applyFont="1" applyFill="1" applyBorder="1"/>
    <xf numFmtId="0" fontId="15" fillId="0" borderId="24" xfId="0" applyFont="1" applyFill="1" applyBorder="1"/>
    <xf numFmtId="0" fontId="15" fillId="0" borderId="9" xfId="0" applyFont="1" applyFill="1" applyBorder="1"/>
    <xf numFmtId="0" fontId="15" fillId="0" borderId="4" xfId="9" applyNumberFormat="1" applyFont="1" applyFill="1" applyBorder="1" applyAlignment="1">
      <alignment horizontal="center" vertical="center" wrapText="1"/>
    </xf>
    <xf numFmtId="0" fontId="13" fillId="0" borderId="20" xfId="0" applyFont="1" applyFill="1" applyBorder="1"/>
    <xf numFmtId="165" fontId="13" fillId="0" borderId="18" xfId="2" applyNumberFormat="1" applyFont="1" applyFill="1" applyBorder="1"/>
    <xf numFmtId="0" fontId="15" fillId="0" borderId="4" xfId="9" applyNumberFormat="1" applyFont="1" applyFill="1" applyBorder="1" applyAlignment="1">
      <alignment vertical="center" wrapText="1"/>
    </xf>
    <xf numFmtId="165" fontId="3" fillId="0" borderId="0" xfId="2" applyNumberFormat="1" applyFont="1" applyFill="1" applyBorder="1"/>
    <xf numFmtId="0" fontId="15" fillId="0" borderId="30" xfId="9" applyNumberFormat="1" applyFont="1" applyFill="1" applyAlignment="1">
      <alignment horizontal="left" vertical="center" wrapText="1"/>
    </xf>
    <xf numFmtId="0" fontId="15" fillId="0" borderId="30" xfId="9" applyFont="1" applyFill="1"/>
    <xf numFmtId="0" fontId="15" fillId="2" borderId="30" xfId="9" applyNumberFormat="1" applyFont="1" applyFill="1" applyAlignment="1">
      <alignment horizontal="left" vertical="center" wrapText="1"/>
    </xf>
    <xf numFmtId="0" fontId="15" fillId="3" borderId="30" xfId="9" applyFont="1" applyFill="1" applyAlignment="1">
      <alignment vertical="center" wrapText="1"/>
    </xf>
    <xf numFmtId="0" fontId="15" fillId="3" borderId="30" xfId="9" applyFont="1" applyFill="1" applyAlignment="1">
      <alignment wrapText="1"/>
    </xf>
    <xf numFmtId="9" fontId="13" fillId="0" borderId="4" xfId="3" applyFont="1" applyFill="1" applyBorder="1" applyAlignment="1">
      <alignment horizontal="center"/>
    </xf>
    <xf numFmtId="3" fontId="13" fillId="0" borderId="4" xfId="3" applyNumberFormat="1" applyFont="1" applyFill="1" applyBorder="1"/>
    <xf numFmtId="3" fontId="13" fillId="0" borderId="4" xfId="3" applyNumberFormat="1" applyFont="1" applyFill="1" applyBorder="1" applyAlignment="1">
      <alignment vertical="center"/>
    </xf>
    <xf numFmtId="3" fontId="13" fillId="0" borderId="6" xfId="3" applyNumberFormat="1" applyFont="1" applyFill="1" applyBorder="1" applyAlignment="1">
      <alignment vertical="center"/>
    </xf>
    <xf numFmtId="9" fontId="13" fillId="0" borderId="4" xfId="3" applyFont="1" applyFill="1" applyBorder="1" applyAlignment="1">
      <alignment horizontal="center" vertical="center"/>
    </xf>
    <xf numFmtId="165" fontId="13" fillId="0" borderId="8" xfId="2" applyNumberFormat="1" applyFont="1" applyFill="1" applyBorder="1"/>
    <xf numFmtId="2" fontId="13" fillId="0" borderId="4" xfId="3" applyNumberFormat="1" applyFont="1" applyFill="1" applyBorder="1" applyAlignment="1">
      <alignment horizontal="center" vertical="center"/>
    </xf>
    <xf numFmtId="3" fontId="13" fillId="0" borderId="15" xfId="3" applyNumberFormat="1" applyFont="1" applyFill="1" applyBorder="1" applyAlignment="1">
      <alignment vertical="center"/>
    </xf>
    <xf numFmtId="3" fontId="13" fillId="0" borderId="14" xfId="3" applyNumberFormat="1" applyFont="1" applyFill="1" applyBorder="1" applyAlignment="1">
      <alignment vertical="center"/>
    </xf>
    <xf numFmtId="9" fontId="13" fillId="0" borderId="15" xfId="3" applyFont="1" applyFill="1" applyBorder="1" applyAlignment="1">
      <alignment vertical="center"/>
    </xf>
    <xf numFmtId="165" fontId="13" fillId="0" borderId="17" xfId="2" applyNumberFormat="1" applyFont="1" applyFill="1" applyBorder="1"/>
    <xf numFmtId="0" fontId="14" fillId="0" borderId="20" xfId="1" applyNumberFormat="1" applyFont="1" applyFill="1" applyBorder="1" applyAlignment="1">
      <alignment horizontal="center" vertical="center" wrapText="1"/>
    </xf>
    <xf numFmtId="0" fontId="14" fillId="0" borderId="16" xfId="1" applyNumberFormat="1" applyFont="1" applyFill="1" applyBorder="1" applyAlignment="1">
      <alignment horizontal="center" vertical="center" wrapText="1"/>
    </xf>
    <xf numFmtId="0" fontId="14" fillId="0" borderId="18" xfId="1" applyNumberFormat="1" applyFont="1" applyFill="1" applyBorder="1" applyAlignment="1">
      <alignment horizontal="center" vertical="center" wrapText="1"/>
    </xf>
    <xf numFmtId="0" fontId="15" fillId="0" borderId="20" xfId="0" applyFont="1" applyFill="1" applyBorder="1"/>
    <xf numFmtId="3" fontId="0" fillId="0" borderId="4" xfId="3" applyNumberFormat="1" applyFont="1" applyFill="1" applyBorder="1" applyAlignment="1">
      <alignment horizontal="center" vertical="center"/>
    </xf>
    <xf numFmtId="3" fontId="0" fillId="0" borderId="15" xfId="3" applyNumberFormat="1" applyFont="1" applyFill="1" applyBorder="1" applyAlignment="1">
      <alignment horizontal="center" vertical="center"/>
    </xf>
    <xf numFmtId="0" fontId="5" fillId="0" borderId="24" xfId="1" applyNumberFormat="1" applyFont="1" applyFill="1" applyBorder="1" applyAlignment="1">
      <alignment horizontal="center" vertical="center" wrapText="1"/>
    </xf>
    <xf numFmtId="0" fontId="5" fillId="0" borderId="9" xfId="1" applyNumberFormat="1" applyFont="1" applyFill="1" applyBorder="1" applyAlignment="1">
      <alignment horizontal="center" vertical="center" wrapText="1"/>
    </xf>
    <xf numFmtId="9" fontId="0" fillId="0" borderId="0" xfId="3" applyFont="1" applyFill="1" applyBorder="1" applyAlignment="1">
      <alignment horizontal="center" vertical="center"/>
    </xf>
    <xf numFmtId="3" fontId="0" fillId="0" borderId="0" xfId="3" applyNumberFormat="1" applyFont="1" applyFill="1" applyBorder="1" applyAlignment="1">
      <alignment horizontal="center" vertical="center"/>
    </xf>
    <xf numFmtId="165" fontId="0" fillId="0" borderId="0" xfId="5" applyNumberFormat="1" applyFont="1" applyFill="1" applyBorder="1" applyAlignment="1" applyProtection="1">
      <alignment horizontal="center" vertical="center"/>
      <protection locked="0"/>
    </xf>
    <xf numFmtId="3" fontId="0" fillId="0" borderId="7" xfId="0" applyNumberFormat="1" applyFont="1" applyFill="1" applyBorder="1" applyAlignment="1">
      <alignment horizontal="center" vertical="center"/>
    </xf>
    <xf numFmtId="9" fontId="0" fillId="0" borderId="7" xfId="3" applyFont="1" applyFill="1" applyBorder="1" applyAlignment="1">
      <alignment horizontal="center" vertical="center"/>
    </xf>
    <xf numFmtId="3" fontId="0" fillId="0" borderId="7" xfId="3" applyNumberFormat="1" applyFont="1" applyFill="1" applyBorder="1" applyAlignment="1">
      <alignment horizontal="center" vertical="center"/>
    </xf>
    <xf numFmtId="165" fontId="0" fillId="0" borderId="7" xfId="5" applyNumberFormat="1" applyFont="1" applyFill="1" applyBorder="1" applyAlignment="1" applyProtection="1">
      <alignment horizontal="center" vertical="center"/>
      <protection locked="0"/>
    </xf>
    <xf numFmtId="165" fontId="0" fillId="0" borderId="8" xfId="5" applyNumberFormat="1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vertical="top" wrapText="1"/>
    </xf>
    <xf numFmtId="0" fontId="9" fillId="0" borderId="6" xfId="0" applyFont="1" applyBorder="1" applyAlignment="1">
      <alignment vertical="top"/>
    </xf>
    <xf numFmtId="3" fontId="14" fillId="0" borderId="16" xfId="1" applyNumberFormat="1" applyFont="1" applyFill="1" applyBorder="1" applyAlignment="1">
      <alignment horizontal="center" vertical="center" wrapText="1"/>
    </xf>
    <xf numFmtId="10" fontId="13" fillId="0" borderId="4" xfId="3" applyNumberFormat="1" applyFont="1" applyFill="1" applyBorder="1"/>
    <xf numFmtId="0" fontId="15" fillId="0" borderId="35" xfId="9" applyNumberFormat="1" applyFont="1" applyFill="1" applyBorder="1" applyAlignment="1">
      <alignment horizontal="center" vertical="center" wrapText="1"/>
    </xf>
    <xf numFmtId="3" fontId="13" fillId="0" borderId="6" xfId="2" applyNumberFormat="1" applyFont="1" applyFill="1" applyBorder="1" applyAlignment="1">
      <alignment vertical="center"/>
    </xf>
    <xf numFmtId="0" fontId="0" fillId="0" borderId="6" xfId="0" applyBorder="1"/>
    <xf numFmtId="165" fontId="0" fillId="0" borderId="7" xfId="0" applyNumberFormat="1" applyBorder="1"/>
    <xf numFmtId="0" fontId="15" fillId="0" borderId="30" xfId="9" applyFont="1" applyFill="1" applyAlignment="1">
      <alignment horizontal="center" vertical="center" wrapText="1"/>
    </xf>
    <xf numFmtId="0" fontId="15" fillId="4" borderId="30" xfId="9" applyFont="1" applyFill="1" applyAlignment="1">
      <alignment wrapText="1"/>
    </xf>
    <xf numFmtId="0" fontId="13" fillId="4" borderId="4" xfId="8" applyFont="1" applyFill="1" applyBorder="1"/>
    <xf numFmtId="0" fontId="13" fillId="4" borderId="6" xfId="8" applyFont="1" applyFill="1" applyBorder="1"/>
    <xf numFmtId="3" fontId="13" fillId="4" borderId="4" xfId="8" applyNumberFormat="1" applyFont="1" applyFill="1" applyBorder="1"/>
    <xf numFmtId="0" fontId="3" fillId="4" borderId="6" xfId="8" applyFill="1" applyBorder="1"/>
    <xf numFmtId="3" fontId="18" fillId="0" borderId="15" xfId="0" applyNumberFormat="1" applyFont="1" applyFill="1" applyBorder="1"/>
    <xf numFmtId="9" fontId="18" fillId="0" borderId="15" xfId="0" applyNumberFormat="1" applyFont="1" applyFill="1" applyBorder="1"/>
    <xf numFmtId="165" fontId="18" fillId="0" borderId="15" xfId="0" applyNumberFormat="1" applyFont="1" applyFill="1" applyBorder="1"/>
    <xf numFmtId="164" fontId="18" fillId="0" borderId="15" xfId="0" applyNumberFormat="1" applyFont="1" applyFill="1" applyBorder="1"/>
    <xf numFmtId="164" fontId="0" fillId="0" borderId="15" xfId="0" applyNumberFormat="1" applyFont="1" applyFill="1" applyBorder="1"/>
    <xf numFmtId="10" fontId="18" fillId="0" borderId="15" xfId="0" applyNumberFormat="1" applyFont="1" applyFill="1" applyBorder="1"/>
    <xf numFmtId="0" fontId="15" fillId="4" borderId="31" xfId="9" applyNumberFormat="1" applyFont="1" applyFill="1" applyBorder="1" applyAlignment="1">
      <alignment horizontal="center" vertical="center" wrapText="1"/>
    </xf>
    <xf numFmtId="0" fontId="15" fillId="4" borderId="4" xfId="9" applyFont="1" applyFill="1" applyBorder="1" applyAlignment="1">
      <alignment horizontal="center" vertical="center" wrapText="1"/>
    </xf>
    <xf numFmtId="9" fontId="13" fillId="4" borderId="16" xfId="0" applyNumberFormat="1" applyFont="1" applyFill="1" applyBorder="1"/>
    <xf numFmtId="9" fontId="13" fillId="4" borderId="18" xfId="0" applyNumberFormat="1" applyFont="1" applyFill="1" applyBorder="1"/>
    <xf numFmtId="166" fontId="13" fillId="0" borderId="26" xfId="0" applyNumberFormat="1" applyFont="1" applyFill="1" applyBorder="1" applyAlignment="1">
      <alignment horizontal="justify" vertical="center"/>
    </xf>
    <xf numFmtId="166" fontId="13" fillId="0" borderId="28" xfId="0" applyNumberFormat="1" applyFont="1" applyFill="1" applyBorder="1" applyAlignment="1">
      <alignment horizontal="justify" vertical="center"/>
    </xf>
    <xf numFmtId="0" fontId="5" fillId="4" borderId="18" xfId="1" applyNumberFormat="1" applyFont="1" applyFill="1" applyBorder="1" applyAlignment="1">
      <alignment horizontal="center" vertical="center" wrapText="1"/>
    </xf>
    <xf numFmtId="0" fontId="15" fillId="4" borderId="30" xfId="9" applyNumberFormat="1" applyFont="1" applyFill="1" applyAlignment="1">
      <alignment horizontal="center" vertical="center" wrapText="1"/>
    </xf>
    <xf numFmtId="0" fontId="15" fillId="4" borderId="30" xfId="9" applyFont="1" applyFill="1" applyAlignment="1">
      <alignment horizontal="center" vertical="center" wrapText="1"/>
    </xf>
    <xf numFmtId="9" fontId="13" fillId="4" borderId="15" xfId="3" applyFont="1" applyFill="1" applyBorder="1" applyAlignment="1">
      <alignment horizontal="center" vertical="center"/>
    </xf>
    <xf numFmtId="9" fontId="13" fillId="4" borderId="4" xfId="3" applyFont="1" applyFill="1" applyBorder="1" applyAlignment="1">
      <alignment horizontal="center" vertical="center"/>
    </xf>
    <xf numFmtId="9" fontId="13" fillId="4" borderId="4" xfId="3" applyFont="1" applyFill="1" applyBorder="1" applyAlignment="1">
      <alignment horizontal="center"/>
    </xf>
    <xf numFmtId="0" fontId="5" fillId="4" borderId="20" xfId="1" applyNumberFormat="1" applyFont="1" applyFill="1" applyBorder="1" applyAlignment="1">
      <alignment horizontal="center" vertical="center" wrapText="1"/>
    </xf>
    <xf numFmtId="166" fontId="0" fillId="0" borderId="4" xfId="3" applyNumberFormat="1" applyFont="1" applyFill="1" applyBorder="1" applyAlignment="1">
      <alignment horizontal="center" vertical="center"/>
    </xf>
    <xf numFmtId="0" fontId="5" fillId="4" borderId="24" xfId="1" applyNumberFormat="1" applyFont="1" applyFill="1" applyBorder="1" applyAlignment="1">
      <alignment horizontal="center" vertical="center" wrapText="1"/>
    </xf>
    <xf numFmtId="0" fontId="5" fillId="4" borderId="9" xfId="1" applyNumberFormat="1" applyFont="1" applyFill="1" applyBorder="1" applyAlignment="1">
      <alignment horizontal="center" vertical="center" wrapText="1"/>
    </xf>
    <xf numFmtId="165" fontId="9" fillId="0" borderId="15" xfId="5" applyNumberFormat="1" applyFont="1" applyFill="1" applyBorder="1" applyAlignment="1" applyProtection="1">
      <alignment horizontal="center" vertical="center"/>
      <protection locked="0"/>
    </xf>
    <xf numFmtId="0" fontId="15" fillId="4" borderId="4" xfId="9" applyNumberFormat="1" applyFont="1" applyFill="1" applyBorder="1" applyAlignment="1">
      <alignment horizontal="center" vertical="center" wrapText="1"/>
    </xf>
    <xf numFmtId="9" fontId="9" fillId="0" borderId="24" xfId="3" applyFont="1" applyFill="1" applyBorder="1" applyAlignment="1">
      <alignment horizontal="center" vertical="center"/>
    </xf>
    <xf numFmtId="3" fontId="9" fillId="0" borderId="15" xfId="3" applyNumberFormat="1" applyFont="1" applyFill="1" applyBorder="1" applyAlignment="1">
      <alignment horizontal="center" vertical="center"/>
    </xf>
    <xf numFmtId="3" fontId="9" fillId="0" borderId="24" xfId="3" applyNumberFormat="1" applyFont="1" applyFill="1" applyBorder="1" applyAlignment="1">
      <alignment horizontal="center" vertical="center"/>
    </xf>
    <xf numFmtId="165" fontId="9" fillId="0" borderId="24" xfId="5" applyNumberFormat="1" applyFont="1" applyFill="1" applyBorder="1" applyAlignment="1" applyProtection="1">
      <alignment horizontal="center" vertical="center"/>
      <protection locked="0"/>
    </xf>
    <xf numFmtId="3" fontId="9" fillId="0" borderId="15" xfId="0" applyNumberFormat="1" applyFont="1" applyFill="1" applyBorder="1" applyAlignment="1">
      <alignment horizontal="center" vertical="center"/>
    </xf>
    <xf numFmtId="9" fontId="9" fillId="0" borderId="15" xfId="3" applyFont="1" applyFill="1" applyBorder="1" applyAlignment="1">
      <alignment horizontal="center" vertical="center"/>
    </xf>
    <xf numFmtId="9" fontId="9" fillId="4" borderId="14" xfId="3" applyFont="1" applyFill="1" applyBorder="1" applyAlignment="1" applyProtection="1">
      <alignment horizontal="center" vertical="center"/>
      <protection locked="0"/>
    </xf>
    <xf numFmtId="164" fontId="19" fillId="0" borderId="0" xfId="2" applyFont="1" applyFill="1"/>
    <xf numFmtId="0" fontId="20" fillId="4" borderId="35" xfId="9" applyFont="1" applyFill="1" applyBorder="1" applyAlignment="1">
      <alignment horizontal="center" vertical="center" wrapText="1"/>
    </xf>
    <xf numFmtId="168" fontId="13" fillId="0" borderId="4" xfId="8" applyNumberFormat="1" applyFont="1" applyFill="1" applyBorder="1" applyAlignment="1">
      <alignment wrapText="1"/>
    </xf>
    <xf numFmtId="165" fontId="18" fillId="0" borderId="4" xfId="2" applyNumberFormat="1" applyFont="1" applyFill="1" applyBorder="1"/>
    <xf numFmtId="165" fontId="18" fillId="0" borderId="16" xfId="2" applyNumberFormat="1" applyFont="1" applyFill="1" applyBorder="1"/>
    <xf numFmtId="165" fontId="18" fillId="0" borderId="15" xfId="2" applyNumberFormat="1" applyFont="1" applyFill="1" applyBorder="1"/>
    <xf numFmtId="0" fontId="20" fillId="0" borderId="16" xfId="9" applyFont="1" applyFill="1" applyBorder="1" applyAlignment="1">
      <alignment horizontal="center" vertical="center" wrapText="1"/>
    </xf>
    <xf numFmtId="164" fontId="18" fillId="0" borderId="0" xfId="2" applyFont="1" applyFill="1"/>
    <xf numFmtId="0" fontId="20" fillId="0" borderId="35" xfId="9" applyFont="1" applyFill="1" applyBorder="1" applyAlignment="1">
      <alignment horizontal="center" vertical="center" wrapText="1"/>
    </xf>
    <xf numFmtId="164" fontId="20" fillId="4" borderId="0" xfId="2" applyFont="1" applyFill="1"/>
    <xf numFmtId="0" fontId="0" fillId="4" borderId="8" xfId="0" applyFill="1" applyBorder="1"/>
    <xf numFmtId="3" fontId="0" fillId="4" borderId="4" xfId="0" applyNumberFormat="1" applyFont="1" applyFill="1" applyBorder="1" applyAlignment="1">
      <alignment horizontal="center" vertical="center"/>
    </xf>
    <xf numFmtId="166" fontId="0" fillId="4" borderId="4" xfId="3" applyNumberFormat="1" applyFont="1" applyFill="1" applyBorder="1" applyAlignment="1">
      <alignment horizontal="center" vertical="center"/>
    </xf>
    <xf numFmtId="9" fontId="0" fillId="4" borderId="4" xfId="3" applyFont="1" applyFill="1" applyBorder="1" applyAlignment="1">
      <alignment horizontal="center" vertical="center"/>
    </xf>
    <xf numFmtId="3" fontId="0" fillId="4" borderId="4" xfId="3" applyNumberFormat="1" applyFont="1" applyFill="1" applyBorder="1" applyAlignment="1">
      <alignment horizontal="center" vertical="center"/>
    </xf>
    <xf numFmtId="9" fontId="0" fillId="4" borderId="24" xfId="3" applyFont="1" applyFill="1" applyBorder="1" applyAlignment="1">
      <alignment horizontal="center" vertical="center"/>
    </xf>
    <xf numFmtId="3" fontId="0" fillId="4" borderId="15" xfId="3" applyNumberFormat="1" applyFont="1" applyFill="1" applyBorder="1" applyAlignment="1">
      <alignment horizontal="center" vertical="center"/>
    </xf>
    <xf numFmtId="165" fontId="9" fillId="4" borderId="15" xfId="5" applyNumberFormat="1" applyFont="1" applyFill="1" applyBorder="1" applyAlignment="1" applyProtection="1">
      <alignment horizontal="center" vertical="center"/>
      <protection locked="0"/>
    </xf>
    <xf numFmtId="165" fontId="0" fillId="4" borderId="15" xfId="5" applyNumberFormat="1" applyFont="1" applyFill="1" applyBorder="1" applyAlignment="1" applyProtection="1">
      <alignment horizontal="center" vertical="center"/>
      <protection locked="0"/>
    </xf>
    <xf numFmtId="165" fontId="0" fillId="4" borderId="14" xfId="5" applyNumberFormat="1" applyFont="1" applyFill="1" applyBorder="1" applyAlignment="1" applyProtection="1">
      <alignment horizontal="center" vertical="center"/>
      <protection locked="0"/>
    </xf>
    <xf numFmtId="0" fontId="0" fillId="4" borderId="0" xfId="0" applyFill="1"/>
    <xf numFmtId="0" fontId="13" fillId="4" borderId="8" xfId="0" applyFont="1" applyFill="1" applyBorder="1"/>
    <xf numFmtId="3" fontId="13" fillId="4" borderId="4" xfId="0" applyNumberFormat="1" applyFont="1" applyFill="1" applyBorder="1"/>
    <xf numFmtId="9" fontId="13" fillId="4" borderId="24" xfId="3" applyFont="1" applyFill="1" applyBorder="1" applyAlignment="1">
      <alignment horizontal="center" vertical="center"/>
    </xf>
    <xf numFmtId="165" fontId="13" fillId="4" borderId="4" xfId="2" applyNumberFormat="1" applyFont="1" applyFill="1" applyBorder="1"/>
    <xf numFmtId="167" fontId="13" fillId="4" borderId="4" xfId="2" applyNumberFormat="1" applyFont="1" applyFill="1" applyBorder="1"/>
    <xf numFmtId="165" fontId="13" fillId="4" borderId="4" xfId="0" applyNumberFormat="1" applyFont="1" applyFill="1" applyBorder="1"/>
    <xf numFmtId="165" fontId="13" fillId="4" borderId="16" xfId="0" applyNumberFormat="1" applyFont="1" applyFill="1" applyBorder="1"/>
    <xf numFmtId="165" fontId="13" fillId="4" borderId="16" xfId="2" applyNumberFormat="1" applyFont="1" applyFill="1" applyBorder="1"/>
    <xf numFmtId="167" fontId="13" fillId="4" borderId="15" xfId="0" applyNumberFormat="1" applyFont="1" applyFill="1" applyBorder="1" applyAlignment="1">
      <alignment horizontal="center" vertical="center"/>
    </xf>
    <xf numFmtId="165" fontId="13" fillId="4" borderId="18" xfId="0" applyNumberFormat="1" applyFont="1" applyFill="1" applyBorder="1"/>
    <xf numFmtId="165" fontId="0" fillId="4" borderId="0" xfId="0" applyNumberFormat="1" applyFill="1"/>
    <xf numFmtId="165" fontId="0" fillId="4" borderId="0" xfId="2" applyNumberFormat="1" applyFont="1" applyFill="1"/>
  </cellXfs>
  <cellStyles count="11">
    <cellStyle name="Dziesiętny" xfId="2" builtinId="3"/>
    <cellStyle name="Dziesiętny 2" xfId="5" xr:uid="{00000000-0005-0000-0000-000001000000}"/>
    <cellStyle name="Hiperłącze" xfId="4" builtinId="8"/>
    <cellStyle name="Kolumna" xfId="1" xr:uid="{00000000-0005-0000-0000-000003000000}"/>
    <cellStyle name="Kolumna 2" xfId="10" xr:uid="{612E2A4D-2591-41EF-930B-3AEE5A0B5CDB}"/>
    <cellStyle name="Nagłówek 1" xfId="9" builtinId="16"/>
    <cellStyle name="Normalny" xfId="0" builtinId="0"/>
    <cellStyle name="Normalny 2" xfId="8" xr:uid="{00000000-0005-0000-0000-000006000000}"/>
    <cellStyle name="Normalny 3" xfId="7" xr:uid="{00000000-0005-0000-0000-000007000000}"/>
    <cellStyle name="Procentowy" xfId="3" builtinId="5"/>
    <cellStyle name="Procentowy 2" xfId="6" xr:uid="{00000000-0005-0000-0000-000009000000}"/>
  </cellStyles>
  <dxfs count="57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rgb="FF000000"/>
          <bgColor rgb="FFFFFFFF"/>
        </patternFill>
      </fill>
    </dxf>
    <dxf>
      <border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_-* #,##0.0\ _z_ł_-;\-* #,##0.0\ _z_ł_-;_-* &quot;-&quot;??\ _z_ł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_-* #,##0.0\ _z_ł_-;\-* #,##0.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_-* #,##0.0\ _z_ł_-;\-* #,##0.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_-* #,##0.0\ _z_ł_-;\-* #,##0.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left style="thin">
          <color indexed="64"/>
        </left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3" formatCode="0%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3" formatCode="0%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3" formatCode="0%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3" formatCode="0%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3" formatCode="0%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3" formatCode="0%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 style="medium">
          <color rgb="FF4472C4"/>
        </left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 style="medium">
          <color rgb="FF4472C4"/>
        </left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3" formatCode="0%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 style="medium">
          <color rgb="FF4472C4"/>
        </left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 style="medium">
          <color rgb="FF4472C4"/>
        </left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 style="medium">
          <color rgb="FF4472C4"/>
        </left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3" formatCode="0%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 style="medium">
          <color rgb="FF4472C4"/>
        </left>
        <right style="medium">
          <color rgb="FF4472C4"/>
        </right>
        <top/>
        <bottom style="medium">
          <color rgb="FF4472C4"/>
        </bottom>
      </border>
    </dxf>
    <dxf>
      <border outline="0">
        <bottom style="medium">
          <color rgb="FF4472C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165" formatCode="_-* #,##0\ _z_ł_-;\-* #,##0\ _z_ł_-;_-* &quot;-&quot;??\ _z_ł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solid">
          <fgColor indexed="64"/>
          <bgColor theme="8" tint="0.59999389629810485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solid">
          <fgColor indexed="64"/>
          <bgColor theme="8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solid">
          <fgColor indexed="64"/>
          <bgColor theme="8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/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 style="medium">
          <color rgb="FF4472C4"/>
        </left>
        <right style="medium">
          <color rgb="FF4472C4"/>
        </right>
        <top/>
        <bottom style="medium">
          <color rgb="FF4472C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165" formatCode="_-* #,##0\ _z_ł_-;\-* #,##0\ _z_ł_-;_-* &quot;-&quot;??\ _z_ł_-;_-@_-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border outline="0">
        <right style="thin">
          <color indexed="64"/>
        </righ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.00\ _z_ł_-;\-* #,##0.0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.00\ _z_ł_-;\-* #,##0.0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.00\ _z_ł_-;\-* #,##0.0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3" formatCode="0%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3" formatCode="0%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3" formatCode="0%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4" formatCode="0.00%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4" formatCode="0.00%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4" formatCode="0.00%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4" formatCode="0.00%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.00\ _z_ł_-;\-* #,##0.0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 outline="0">
        <left style="thin">
          <color indexed="64"/>
        </left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rgb="FFFFFF0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rgb="FFFFFF0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rgb="FFFFFF0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rgb="FFFFFF0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rgb="FFFFFF0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rgb="FFFFFF0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rgb="FFFFFF0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rgb="FFFFFF0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rgb="FFFFFF0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rgb="FFFFFF0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rgb="FFFFC00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icha Suchanek" id="{26D71B79-3DE1-4C1B-AC7B-6179D0B07196}" userId="f1da86d814dce8a9" providerId="Windows Live"/>
  <person displayName="Agnieszka Szmelter-Jarosz" id="{A19BC293-4FB1-4421-816D-C2DBD8CE8AB0}" userId="Agnieszka Szmelter-Jarosz" providerId="None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N20" totalsRowShown="0" headerRowDxfId="571" dataDxfId="570" totalsRowBorderDxfId="569" headerRowCellStyle="Nagłówek 1" dataCellStyle="Normalny 2">
  <autoFilter ref="A1:N20" xr:uid="{00000000-0009-0000-0100-000001000000}"/>
  <tableColumns count="14">
    <tableColumn id="1" xr3:uid="{00000000-0010-0000-0000-000001000000}" name="Nazwa" dataDxfId="568" dataCellStyle="Normalny 2"/>
    <tableColumn id="2" xr3:uid="{00000000-0010-0000-0000-000002000000}" name="PKB" dataDxfId="567" dataCellStyle="Normalny 2"/>
    <tableColumn id="3" xr3:uid="{00000000-0010-0000-0000-000003000000}" name="PKB " dataDxfId="566" dataCellStyle="Normalny 2">
      <calculatedColumnFormula>B2*104%</calculatedColumnFormula>
    </tableColumn>
    <tableColumn id="4" xr3:uid="{00000000-0010-0000-0000-000004000000}" name="PKB (-2,8%)" dataDxfId="565" dataCellStyle="Normalny 2">
      <calculatedColumnFormula>C2*103.4%</calculatedColumnFormula>
    </tableColumn>
    <tableColumn id="5" xr3:uid="{00000000-0010-0000-0000-000005000000}" name="PKB (+3,3%)" dataDxfId="564" dataCellStyle="Normalny 2">
      <calculatedColumnFormula>D2*105%</calculatedColumnFormula>
    </tableColumn>
    <tableColumn id="6" xr3:uid="{00000000-0010-0000-0000-000006000000}" name="PKB (+3,5%)" dataDxfId="563" dataCellStyle="Normalny 2">
      <calculatedColumnFormula>E2*105%</calculatedColumnFormula>
    </tableColumn>
    <tableColumn id="7" xr3:uid="{00000000-0010-0000-0000-000007000000}" name="PKB (+3,5%)2" dataDxfId="562" dataCellStyle="Normalny 2">
      <calculatedColumnFormula>F2*105%</calculatedColumnFormula>
    </tableColumn>
    <tableColumn id="8" xr3:uid="{00000000-0010-0000-0000-000008000000}" name="PKB (+3,5%)3" dataDxfId="561" dataCellStyle="Normalny 2">
      <calculatedColumnFormula>G2*105%</calculatedColumnFormula>
    </tableColumn>
    <tableColumn id="9" xr3:uid="{00000000-0010-0000-0000-000009000000}" name="PKB (+3,5%)4" dataDxfId="560" dataCellStyle="Normalny 2">
      <calculatedColumnFormula>H2*105%</calculatedColumnFormula>
    </tableColumn>
    <tableColumn id="10" xr3:uid="{00000000-0010-0000-0000-00000A000000}" name="PKB (+3,5%)5" dataDxfId="559" dataCellStyle="Normalny 2">
      <calculatedColumnFormula>I2*105%</calculatedColumnFormula>
    </tableColumn>
    <tableColumn id="11" xr3:uid="{00000000-0010-0000-0000-00000B000000}" name="PKB (+3,5%)6" dataDxfId="558" dataCellStyle="Normalny 2">
      <calculatedColumnFormula>J2*105%</calculatedColumnFormula>
    </tableColumn>
    <tableColumn id="12" xr3:uid="{00000000-0010-0000-0000-00000C000000}" name="PKB (+3,5%)7" dataDxfId="557" dataCellStyle="Normalny 2">
      <calculatedColumnFormula>K2*105%</calculatedColumnFormula>
    </tableColumn>
    <tableColumn id="13" xr3:uid="{00000000-0010-0000-0000-00000D000000}" name="PKB (+3,5%)8" dataDxfId="556" dataCellStyle="Normalny 2">
      <calculatedColumnFormula>L2*105%</calculatedColumnFormula>
    </tableColumn>
    <tableColumn id="14" xr3:uid="{00000000-0010-0000-0000-00000E000000}" name="PKB (+3,5%)9" dataDxfId="555" dataCellStyle="Normalny 2">
      <calculatedColumnFormula>M2*105%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Historyczna i prognozowana wartość PKB" altTextSummary="Tabela przedstawia historyczne oraz prognozowane wartości PKB w podziale na kraj i województwa dla lat 2018-2030.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ela10" displayName="Tabela10" ref="A1:AE8" totalsRowShown="0" headerRowDxfId="206" dataDxfId="205" tableBorderDxfId="204" headerRowCellStyle="Kolumna" dataCellStyle="Kolumna">
  <autoFilter ref="A1:AE8" xr:uid="{00000000-0009-0000-0100-00000A000000}"/>
  <tableColumns count="31">
    <tableColumn id="1" xr3:uid="{00000000-0010-0000-0900-000001000000}" name="Oznaczenie potrzeb inwestycyjnych"/>
    <tableColumn id="2" xr3:uid="{00000000-0010-0000-0900-000002000000}" name="Udział przedsiębiorstw planujących inwestycje na najbliższe 3 lata (w %)"/>
    <tableColumn id="3" xr3:uid="{00000000-0010-0000-0900-000003000000}" name="Kolumna1"/>
    <tableColumn id="4" xr3:uid="{00000000-0010-0000-0900-000004000000}" name="Kolumna2"/>
    <tableColumn id="5" xr3:uid="{00000000-0010-0000-0900-000005000000}" name="Kolumna3"/>
    <tableColumn id="6" xr3:uid="{00000000-0010-0000-0900-000006000000}" name="Kolumna4"/>
    <tableColumn id="7" xr3:uid="{00000000-0010-0000-0900-000007000000}" name="Kolumna5"/>
    <tableColumn id="8" xr3:uid="{00000000-0010-0000-0900-000008000000}" name="Udział przedsiębiorstw planujących inwestycje na najbliższe 3 lata (w %)6"/>
    <tableColumn id="9" xr3:uid="{00000000-0010-0000-0900-000009000000}" name="Kolumna7"/>
    <tableColumn id="10" xr3:uid="{00000000-0010-0000-0900-00000A000000}" name="Kolumna8"/>
    <tableColumn id="11" xr3:uid="{00000000-0010-0000-0900-00000B000000}" name="Kolumna9"/>
    <tableColumn id="12" xr3:uid="{00000000-0010-0000-0900-00000C000000}" name="Kolumna10"/>
    <tableColumn id="13" xr3:uid="{00000000-0010-0000-0900-00000D000000}" name="Kolumna11"/>
    <tableColumn id="14" xr3:uid="{00000000-0010-0000-0900-00000E000000}" name="Udział przedsiębiorstw planujących inwestycje na najbliższe 3 lata (w %)12"/>
    <tableColumn id="15" xr3:uid="{00000000-0010-0000-0900-00000F000000}" name="Kolumna13"/>
    <tableColumn id="16" xr3:uid="{00000000-0010-0000-0900-000010000000}" name="Kolumna14"/>
    <tableColumn id="17" xr3:uid="{00000000-0010-0000-0900-000011000000}" name="Kolumna15"/>
    <tableColumn id="18" xr3:uid="{00000000-0010-0000-0900-000012000000}" name="Kolumna16"/>
    <tableColumn id="19" xr3:uid="{00000000-0010-0000-0900-000013000000}" name="Kolumna17"/>
    <tableColumn id="20" xr3:uid="{00000000-0010-0000-0900-000014000000}" name="Udział przedsiębiorstw planujących inwestycje na najbliższe 3 lata (w %)18"/>
    <tableColumn id="21" xr3:uid="{00000000-0010-0000-0900-000015000000}" name="Kolumna19"/>
    <tableColumn id="22" xr3:uid="{00000000-0010-0000-0900-000016000000}" name="Kolumna20"/>
    <tableColumn id="23" xr3:uid="{00000000-0010-0000-0900-000017000000}" name="Kolumna21"/>
    <tableColumn id="24" xr3:uid="{00000000-0010-0000-0900-000018000000}" name="Kolumna22"/>
    <tableColumn id="25" xr3:uid="{00000000-0010-0000-0900-000019000000}" name="Kolumna23"/>
    <tableColumn id="26" xr3:uid="{00000000-0010-0000-0900-00001A000000}" name="Udział przedsiębiorstw planujących inwestycje na najbliższe 3 lata (w %) - dla roku 2020" dataDxfId="203" dataCellStyle="Kolumna">
      <calculatedColumnFormula>AVERAGE(AB2:AE2)</calculatedColumnFormula>
    </tableColumn>
    <tableColumn id="27" xr3:uid="{00000000-0010-0000-0900-00001B000000}" name="Kolumna24" dataDxfId="202" dataCellStyle="Kolumna">
      <calculatedColumnFormula>AVERAGE(AB2:AD2)</calculatedColumnFormula>
    </tableColumn>
    <tableColumn id="28" xr3:uid="{00000000-0010-0000-0900-00001C000000}" name="Kolumna25" dataDxfId="201" dataCellStyle="Kolumna">
      <calculatedColumnFormula>AVERAGE(D2,J2,P2,V2)</calculatedColumnFormula>
    </tableColumn>
    <tableColumn id="29" xr3:uid="{00000000-0010-0000-0900-00001D000000}" name="Kolumna26" dataDxfId="200" dataCellStyle="Kolumna">
      <calculatedColumnFormula>AVERAGE(E2,K2,Q2,W2)</calculatedColumnFormula>
    </tableColumn>
    <tableColumn id="30" xr3:uid="{00000000-0010-0000-0900-00001E000000}" name="Kolumna27" dataDxfId="199" dataCellStyle="Kolumna">
      <calculatedColumnFormula>AVERAGE(F2,L2,R2,X2)</calculatedColumnFormula>
    </tableColumn>
    <tableColumn id="31" xr3:uid="{00000000-0010-0000-0900-00001F000000}" name="Kolumna28" dataDxfId="198" dataCellStyle="Kolumna">
      <calculatedColumnFormula>AVERAGE(G2,M2,S2,Y2)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Plany inwestycyjne przedsiębiorstw" altTextSummary="Tabela przedstawia plany inwestycyjne przedsiębiorstw w latach 2015-2018.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A000000}" name="Tabela8" displayName="Tabela8" ref="A1:U18" totalsRowShown="0" headerRowDxfId="197" dataDxfId="195" headerRowBorderDxfId="196" tableBorderDxfId="194" headerRowCellStyle="Nagłówek 1" dataCellStyle="Dziesiętny">
  <autoFilter ref="A1:U18" xr:uid="{00000000-0009-0000-0100-000008000000}"/>
  <tableColumns count="21">
    <tableColumn id="1" xr3:uid="{00000000-0010-0000-0A00-000001000000}" name="Nazwa jednostki terytorialnej" dataDxfId="193"/>
    <tableColumn id="2" xr3:uid="{00000000-0010-0000-0A00-000002000000}" name="Wartość umów" dataDxfId="192" dataCellStyle="Dziesiętny"/>
    <tableColumn id="3" xr3:uid="{00000000-0010-0000-0A00-000003000000}" name="Liczba pośredników" dataDxfId="191" dataCellStyle="Dziesiętny"/>
    <tableColumn id="4" xr3:uid="{00000000-0010-0000-0A00-000004000000}" name="Koszty zarządzania" dataDxfId="190" dataCellStyle="Dziesiętny"/>
    <tableColumn id="5" xr3:uid="{00000000-0010-0000-0A00-000005000000}" name="Pożyczki wypłacone" dataDxfId="189" dataCellStyle="Dziesiętny"/>
    <tableColumn id="6" xr3:uid="{00000000-0010-0000-0A00-000006000000}" name="Liczba udzielonych ogółem" dataDxfId="188" dataCellStyle="Dziesiętny"/>
    <tableColumn id="7" xr3:uid="{00000000-0010-0000-0A00-000007000000}" name="Wartość udzielonych ogółem" dataDxfId="187" dataCellStyle="Dziesiętny"/>
    <tableColumn id="8" xr3:uid="{00000000-0010-0000-0A00-000008000000}" name="Wartość średniorocznie" dataDxfId="186" dataCellStyle="Dziesiętny">
      <calculatedColumnFormula>G2/3</calculatedColumnFormula>
    </tableColumn>
    <tableColumn id="9" xr3:uid="{00000000-0010-0000-0A00-000009000000}" name="Średnia wartość ogółem" dataDxfId="185" dataCellStyle="Dziesiętny">
      <calculatedColumnFormula>G2/F2</calculatedColumnFormula>
    </tableColumn>
    <tableColumn id="10" xr3:uid="{00000000-0010-0000-0A00-00000A000000}" name="Liczba - mikro" dataDxfId="184" dataCellStyle="Dziesiętny"/>
    <tableColumn id="11" xr3:uid="{00000000-0010-0000-0A00-00000B000000}" name="Wartość - mikro" dataDxfId="183" dataCellStyle="Dziesiętny"/>
    <tableColumn id="12" xr3:uid="{00000000-0010-0000-0A00-00000C000000}" name="Wartość średniorocznie2" dataDxfId="182" dataCellStyle="Dziesiętny">
      <calculatedColumnFormula>K2/3</calculatedColumnFormula>
    </tableColumn>
    <tableColumn id="13" xr3:uid="{00000000-0010-0000-0A00-00000D000000}" name="Średnia mikro" dataDxfId="181" dataCellStyle="Dziesiętny">
      <calculatedColumnFormula>K2/J2</calculatedColumnFormula>
    </tableColumn>
    <tableColumn id="14" xr3:uid="{00000000-0010-0000-0A00-00000E000000}" name="Liczba - małe" dataDxfId="180" dataCellStyle="Dziesiętny"/>
    <tableColumn id="15" xr3:uid="{00000000-0010-0000-0A00-00000F000000}" name="Wartość - małe" dataDxfId="179" dataCellStyle="Dziesiętny"/>
    <tableColumn id="16" xr3:uid="{00000000-0010-0000-0A00-000010000000}" name="Wartość średniorocznie3" dataDxfId="178" dataCellStyle="Dziesiętny">
      <calculatedColumnFormula>O2/3</calculatedColumnFormula>
    </tableColumn>
    <tableColumn id="17" xr3:uid="{00000000-0010-0000-0A00-000011000000}" name="Średnia małe" dataDxfId="177" dataCellStyle="Dziesiętny">
      <calculatedColumnFormula>O2/N2</calculatedColumnFormula>
    </tableColumn>
    <tableColumn id="18" xr3:uid="{00000000-0010-0000-0A00-000012000000}" name="Liczba -średnie" dataDxfId="176" dataCellStyle="Dziesiętny"/>
    <tableColumn id="19" xr3:uid="{00000000-0010-0000-0A00-000013000000}" name="Wartość - średnie" dataDxfId="175" dataCellStyle="Dziesiętny"/>
    <tableColumn id="20" xr3:uid="{00000000-0010-0000-0A00-000014000000}" name="Wartość średniorocznie4" dataDxfId="174" dataCellStyle="Dziesiętny">
      <calculatedColumnFormula>S2/3</calculatedColumnFormula>
    </tableColumn>
    <tableColumn id="21" xr3:uid="{00000000-0010-0000-0A00-000015000000}" name="Średnia - średnie" dataDxfId="173" dataCellStyle="Dziesiętny">
      <calculatedColumnFormula>S2/R2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Wsparcie pożyczkowe dedykowane MŚP" altTextSummary="Tabela przedstawia informacje na temat liczby i wartości udzielonych pożyczek w ramach programów operacyjnych 2014-2020.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B000000}" name="Tabela15" displayName="Tabela15" ref="A1:BM20" totalsRowShown="0" headerRowDxfId="172" dataDxfId="171" tableBorderDxfId="170" headerRowCellStyle="Nagłówek 1">
  <autoFilter ref="A1:BM20" xr:uid="{00000000-0009-0000-0100-00000F000000}"/>
  <tableColumns count="65">
    <tableColumn id="1" xr3:uid="{00000000-0010-0000-0B00-000001000000}" name="Nazwa jednostki terytorialnej" dataDxfId="169"/>
    <tableColumn id="2" xr3:uid="{00000000-0010-0000-0B00-000002000000}" name="Szacowana liczba przedsiębiorstw niefinansowych w 2020" dataDxfId="168">
      <calculatedColumnFormula>SUM(C2:E2)</calculatedColumnFormula>
    </tableColumn>
    <tableColumn id="3" xr3:uid="{00000000-0010-0000-0B00-000003000000}" name="Mikro" dataDxfId="167">
      <calculatedColumnFormula>'5.1.3 Przeds. niefinansowe'!V3</calculatedColumnFormula>
    </tableColumn>
    <tableColumn id="4" xr3:uid="{00000000-0010-0000-0B00-000004000000}" name="Małe" dataDxfId="166">
      <calculatedColumnFormula>'5.1.3 Przeds. niefinansowe'!W3</calculatedColumnFormula>
    </tableColumn>
    <tableColumn id="5" xr3:uid="{00000000-0010-0000-0B00-000005000000}" name="Średnie" dataDxfId="165">
      <calculatedColumnFormula>'5.1.3 Przeds. niefinansowe'!X3</calculatedColumnFormula>
    </tableColumn>
    <tableColumn id="6" xr3:uid="{00000000-0010-0000-0B00-000006000000}" name="Średni odsetek mikro planujących inwestycje" dataDxfId="164" dataCellStyle="Procentowy"/>
    <tableColumn id="7" xr3:uid="{00000000-0010-0000-0B00-000007000000}" name="Odsetek mikro planujących inwestycje" dataDxfId="163" dataCellStyle="Procentowy"/>
    <tableColumn id="8" xr3:uid="{00000000-0010-0000-0B00-000008000000}" name="Średni odsetek małych planujących inwestycje" dataDxfId="162" dataCellStyle="Procentowy"/>
    <tableColumn id="9" xr3:uid="{00000000-0010-0000-0B00-000009000000}" name="Odsetek małych planujących inwestycje" dataDxfId="161" dataCellStyle="Procentowy"/>
    <tableColumn id="10" xr3:uid="{00000000-0010-0000-0B00-00000A000000}" name="Średni odsetek średnich firm planujących inwestycje" dataDxfId="160" dataCellStyle="Procentowy"/>
    <tableColumn id="11" xr3:uid="{00000000-0010-0000-0B00-00000B000000}" name="Odsetek średnich firm planujących inwestycje" dataDxfId="159" dataCellStyle="Procentowy"/>
    <tableColumn id="12" xr3:uid="{00000000-0010-0000-0B00-00000C000000}" name="Szacowana liczba przedsiębiorstw niefinansowych w 2020 r. planujących inwestycje" dataDxfId="158" dataCellStyle="Dziesiętny">
      <calculatedColumnFormula>SUM(M2:O2)</calculatedColumnFormula>
    </tableColumn>
    <tableColumn id="13" xr3:uid="{00000000-0010-0000-0B00-00000D000000}" name="Mikro3" dataDxfId="157" dataCellStyle="Dziesiętny">
      <calculatedColumnFormula>C2*G$4</calculatedColumnFormula>
    </tableColumn>
    <tableColumn id="14" xr3:uid="{00000000-0010-0000-0B00-00000E000000}" name="Małe4" dataDxfId="156" dataCellStyle="Dziesiętny">
      <calculatedColumnFormula>D2*I$4</calculatedColumnFormula>
    </tableColumn>
    <tableColumn id="15" xr3:uid="{00000000-0010-0000-0B00-00000F000000}" name="Średnie4" dataDxfId="155" dataCellStyle="Dziesiętny">
      <calculatedColumnFormula>E2*K$4</calculatedColumnFormula>
    </tableColumn>
    <tableColumn id="16" xr3:uid="{00000000-0010-0000-0B00-000010000000}" name="Prognozowane nakłady  (tys.)" dataDxfId="154" dataCellStyle="Dziesiętny">
      <calculatedColumnFormula>SUM(Q2:S2)</calculatedColumnFormula>
    </tableColumn>
    <tableColumn id="17" xr3:uid="{00000000-0010-0000-0B00-000011000000}" name="Mikro4" dataDxfId="153" dataCellStyle="Dziesiętny"/>
    <tableColumn id="18" xr3:uid="{00000000-0010-0000-0B00-000012000000}" name="Małe5" dataDxfId="152" dataCellStyle="Dziesiętny"/>
    <tableColumn id="19" xr3:uid="{00000000-0010-0000-0B00-000013000000}" name="Średnie5" dataDxfId="151" dataCellStyle="Dziesiętny"/>
    <tableColumn id="20" xr3:uid="{00000000-0010-0000-0B00-000014000000}" name="Nakłady jednostkowe Mikro (tys. zł) " dataDxfId="150" dataCellStyle="Dziesiętny">
      <calculatedColumnFormula>Q2*1000/M2/1000</calculatedColumnFormula>
    </tableColumn>
    <tableColumn id="21" xr3:uid="{00000000-0010-0000-0B00-000015000000}" name="Nakłady jednostkowe Małe (tys. zł)" dataDxfId="149" dataCellStyle="Dziesiętny">
      <calculatedColumnFormula>R2*1000/N2/1000</calculatedColumnFormula>
    </tableColumn>
    <tableColumn id="22" xr3:uid="{00000000-0010-0000-0B00-000016000000}" name="Nakłady jednostkowe Średnie (tys. zł) " dataDxfId="148" dataCellStyle="Dziesiętny">
      <calculatedColumnFormula>S2*1000/O2/1000</calculatedColumnFormula>
    </tableColumn>
    <tableColumn id="23" xr3:uid="{00000000-0010-0000-0B00-000017000000}" name="Średni odsetek firm ubiegających się o kredyt" dataDxfId="147" dataCellStyle="Procentowy"/>
    <tableColumn id="24" xr3:uid="{00000000-0010-0000-0B00-000018000000}" name="Odsetek ubiegających się o kredyt" dataDxfId="146" dataCellStyle="Procentowy"/>
    <tableColumn id="25" xr3:uid="{00000000-0010-0000-0B00-000019000000}" name="Szacowana liczba firm ubiegających się o kredyt" dataDxfId="145">
      <calculatedColumnFormula>SUM(Z2:AB2)</calculatedColumnFormula>
    </tableColumn>
    <tableColumn id="26" xr3:uid="{00000000-0010-0000-0B00-00001A000000}" name="Mikro2" dataDxfId="144" dataCellStyle="Dziesiętny">
      <calculatedColumnFormula>M2*X$4</calculatedColumnFormula>
    </tableColumn>
    <tableColumn id="27" xr3:uid="{00000000-0010-0000-0B00-00001B000000}" name="Małe2" dataDxfId="143">
      <calculatedColumnFormula>N2*X$4</calculatedColumnFormula>
    </tableColumn>
    <tableColumn id="28" xr3:uid="{00000000-0010-0000-0B00-00001C000000}" name="Średnie2" dataDxfId="142">
      <calculatedColumnFormula>O2*X$4</calculatedColumnFormula>
    </tableColumn>
    <tableColumn id="29" xr3:uid="{00000000-0010-0000-0B00-00001D000000}" name="Szacowana wartość kredytu o jaką ubiegają się MŚP (w mln zł)" dataDxfId="141">
      <calculatedColumnFormula>SUM(AD2:AF2)</calculatedColumnFormula>
    </tableColumn>
    <tableColumn id="30" xr3:uid="{00000000-0010-0000-0B00-00001E000000}" name="Mikro5" dataDxfId="140" dataCellStyle="Dziesiętny">
      <calculatedColumnFormula>T2*Z2/1000</calculatedColumnFormula>
    </tableColumn>
    <tableColumn id="31" xr3:uid="{00000000-0010-0000-0B00-00001F000000}" name="Małe3" dataDxfId="139">
      <calculatedColumnFormula>U2*AA2/1000</calculatedColumnFormula>
    </tableColumn>
    <tableColumn id="32" xr3:uid="{00000000-0010-0000-0B00-000020000000}" name="Średnie3" dataDxfId="138">
      <calculatedColumnFormula>V2*AB2/1000</calculatedColumnFormula>
    </tableColumn>
    <tableColumn id="33" xr3:uid="{00000000-0010-0000-0B00-000021000000}" name="Średni odsetek odrzuconych wniosków" dataDxfId="137" dataCellStyle="Procentowy"/>
    <tableColumn id="34" xr3:uid="{00000000-0010-0000-0B00-000022000000}" name="Odsetek odrzuconych wniosków" dataDxfId="136" dataCellStyle="Procentowy"/>
    <tableColumn id="35" xr3:uid="{00000000-0010-0000-0B00-000023000000}" name="Szacowana liczba firm z odrzuconymi wnioskami" dataDxfId="135">
      <calculatedColumnFormula>SUM(AJ2:AL2)</calculatedColumnFormula>
    </tableColumn>
    <tableColumn id="36" xr3:uid="{00000000-0010-0000-0B00-000024000000}" name="Mikro6" dataDxfId="134">
      <calculatedColumnFormula>Z2*AH$4</calculatedColumnFormula>
    </tableColumn>
    <tableColumn id="37" xr3:uid="{00000000-0010-0000-0B00-000025000000}" name="Małe6" dataDxfId="133">
      <calculatedColumnFormula>AA2*AH$4</calculatedColumnFormula>
    </tableColumn>
    <tableColumn id="38" xr3:uid="{00000000-0010-0000-0B00-000026000000}" name="Średnie6" dataDxfId="132">
      <calculatedColumnFormula>AB2*AH$4</calculatedColumnFormula>
    </tableColumn>
    <tableColumn id="39" xr3:uid="{00000000-0010-0000-0B00-000027000000}" name="Szacowana wartość nieotrzymanego kredytu (w mln zł)" dataDxfId="131">
      <calculatedColumnFormula>SUM(AN2:AP2)</calculatedColumnFormula>
    </tableColumn>
    <tableColumn id="40" xr3:uid="{00000000-0010-0000-0B00-000028000000}" name="Mikro7" dataDxfId="130">
      <calculatedColumnFormula>AJ2*T2/1000</calculatedColumnFormula>
    </tableColumn>
    <tableColumn id="41" xr3:uid="{00000000-0010-0000-0B00-000029000000}" name="Małe7" dataDxfId="129">
      <calculatedColumnFormula>AK2*U2/1000</calculatedColumnFormula>
    </tableColumn>
    <tableColumn id="42" xr3:uid="{00000000-0010-0000-0B00-00002A000000}" name="Średnie7" dataDxfId="128">
      <calculatedColumnFormula>AL2*V2/1000</calculatedColumnFormula>
    </tableColumn>
    <tableColumn id="43" xr3:uid="{00000000-0010-0000-0B00-00002B000000}" name="Średni odsetek firm deklarujących brak wystarczającego zabezpieczenia kredytu" dataDxfId="127" dataCellStyle="Procentowy"/>
    <tableColumn id="44" xr3:uid="{00000000-0010-0000-0B00-00002C000000}" name="Odsetek firm deklarujących brak wystarczającego zabezpieczenia kredytu" dataDxfId="126" dataCellStyle="Procentowy"/>
    <tableColumn id="45" xr3:uid="{00000000-0010-0000-0B00-00002D000000}" name="Szacowana liczba firm mająca problem z zabezpieczeniem " dataDxfId="125">
      <calculatedColumnFormula>SUM(AT2:AV2)</calculatedColumnFormula>
    </tableColumn>
    <tableColumn id="46" xr3:uid="{00000000-0010-0000-0B00-00002E000000}" name="Mikro8" dataDxfId="124" dataCellStyle="Dziesiętny">
      <calculatedColumnFormula>AJ2*AR$4</calculatedColumnFormula>
    </tableColumn>
    <tableColumn id="47" xr3:uid="{00000000-0010-0000-0B00-00002F000000}" name="Małe8" dataDxfId="123">
      <calculatedColumnFormula>AK2*AR$4</calculatedColumnFormula>
    </tableColumn>
    <tableColumn id="48" xr3:uid="{00000000-0010-0000-0B00-000030000000}" name="Średnie8" dataDxfId="122">
      <calculatedColumnFormula>AL2*AR$4</calculatedColumnFormula>
    </tableColumn>
    <tableColumn id="49" xr3:uid="{00000000-0010-0000-0B00-000031000000}" name="Potencjalna wartość kredytów, w których występuje problem z zabezpieczeniem (w mln zł)" dataDxfId="121">
      <calculatedColumnFormula>SUM(AX2:AZ2)</calculatedColumnFormula>
    </tableColumn>
    <tableColumn id="50" xr3:uid="{00000000-0010-0000-0B00-000032000000}" name="Mikro9" dataDxfId="120" dataCellStyle="Dziesiętny">
      <calculatedColumnFormula>AT2*T2/1000</calculatedColumnFormula>
    </tableColumn>
    <tableColumn id="51" xr3:uid="{00000000-0010-0000-0B00-000033000000}" name="Małe9" dataDxfId="119">
      <calculatedColumnFormula>AU2*U2/1000</calculatedColumnFormula>
    </tableColumn>
    <tableColumn id="52" xr3:uid="{00000000-0010-0000-0B00-000034000000}" name="Średnie9" dataDxfId="118">
      <calculatedColumnFormula>AV2*V2/1000</calculatedColumnFormula>
    </tableColumn>
    <tableColumn id="53" xr3:uid="{00000000-0010-0000-0B00-000035000000}" name="% wartości kredytu zabezpieczana gwarancją" dataDxfId="117" dataCellStyle="Procentowy"/>
    <tableColumn id="54" xr3:uid="{00000000-0010-0000-0B00-000036000000}" name="Mnożnik" dataDxfId="116"/>
    <tableColumn id="55" xr3:uid="{00000000-0010-0000-0B00-000037000000}" name="Wartość kapitału niezbędnego do zapewnienia gwarancji dla kredytów, w których występuje problem z zabezpieczeniem (Luka gwarancji) w mln zł" dataDxfId="115">
      <calculatedColumnFormula>SUM(BD2:BF2)</calculatedColumnFormula>
    </tableColumn>
    <tableColumn id="56" xr3:uid="{00000000-0010-0000-0B00-000038000000}" name="Mikro10" dataDxfId="114" dataCellStyle="Dziesiętny">
      <calculatedColumnFormula>(AX2*BA$4)/BB$4</calculatedColumnFormula>
    </tableColumn>
    <tableColumn id="57" xr3:uid="{00000000-0010-0000-0B00-000039000000}" name="Małe10" dataDxfId="113">
      <calculatedColumnFormula>(AY2*BA$4)/BB$4</calculatedColumnFormula>
    </tableColumn>
    <tableColumn id="58" xr3:uid="{00000000-0010-0000-0B00-00003A000000}" name="Średnie10" dataDxfId="112">
      <calculatedColumnFormula>(AZ2*BA$4)/BB$4</calculatedColumnFormula>
    </tableColumn>
    <tableColumn id="59" xr3:uid="{00000000-0010-0000-0B00-00003B000000}" name="Luka pożyczek (mln zł)" dataDxfId="111">
      <calculatedColumnFormula>SUM(BH2:BJ2)</calculatedColumnFormula>
    </tableColumn>
    <tableColumn id="60" xr3:uid="{00000000-0010-0000-0B00-00003C000000}" name="Mikro11" dataDxfId="110" dataCellStyle="Dziesiętny">
      <calculatedColumnFormula>AN2-BD2</calculatedColumnFormula>
    </tableColumn>
    <tableColumn id="61" xr3:uid="{00000000-0010-0000-0B00-00003D000000}" name="Małe11" dataDxfId="109">
      <calculatedColumnFormula>AO2-BE2</calculatedColumnFormula>
    </tableColumn>
    <tableColumn id="62" xr3:uid="{00000000-0010-0000-0B00-00003E000000}" name="Średnie11" dataDxfId="108">
      <calculatedColumnFormula>AP2-BF2</calculatedColumnFormula>
    </tableColumn>
    <tableColumn id="63" xr3:uid="{00000000-0010-0000-0B00-00003F000000}" name="Luka finansowania dłużnego (mln zł)" dataDxfId="107">
      <calculatedColumnFormula>SUM(BL2:BM2)</calculatedColumnFormula>
    </tableColumn>
    <tableColumn id="64" xr3:uid="{00000000-0010-0000-0B00-000040000000}" name="Pożyczki" dataDxfId="106" dataCellStyle="Dziesiętny">
      <calculatedColumnFormula>BG2</calculatedColumnFormula>
    </tableColumn>
    <tableColumn id="65" xr3:uid="{00000000-0010-0000-0B00-000041000000}" name="Gwarancje" dataDxfId="105">
      <calculatedColumnFormula>BC2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Luka finansowania dłużnego" altTextSummary="Tabela przedstawia sposób wyliczenia luki finansowania dłużnego w podziale na pożyczki i gwarancje."/>
    </ext>
  </extLst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C000000}" name="Tabela16" displayName="Tabela16" ref="A1:AE13" totalsRowShown="0" headerRowDxfId="104" dataDxfId="102" headerRowBorderDxfId="103" tableBorderDxfId="101" totalsRowBorderDxfId="100" headerRowCellStyle="Nagłówek 1" dataCellStyle="Dziesiętny">
  <autoFilter ref="A1:AE13" xr:uid="{00000000-0009-0000-0100-000010000000}"/>
  <tableColumns count="31">
    <tableColumn id="1" xr3:uid="{00000000-0010-0000-0C00-000001000000}" name="Rok" dataDxfId="99"/>
    <tableColumn id="2" xr3:uid="{00000000-0010-0000-0C00-000002000000}" name="Nakłady łącznie (w mln zł)" dataDxfId="98"/>
    <tableColumn id="3" xr3:uid="{00000000-0010-0000-0C00-000003000000}" name="Mikro" dataDxfId="97"/>
    <tableColumn id="4" xr3:uid="{00000000-0010-0000-0C00-000004000000}" name="Małe" dataDxfId="96"/>
    <tableColumn id="5" xr3:uid="{00000000-0010-0000-0C00-000005000000}" name="Średnie" dataDxfId="95"/>
    <tableColumn id="6" xr3:uid="{00000000-0010-0000-0C00-000006000000}" name="% finansowany kredytem" dataDxfId="94" dataCellStyle="Procentowy"/>
    <tableColumn id="7" xr3:uid="{00000000-0010-0000-0C00-000007000000}" name="Szacunkowa wartość kredytu (mln zł)" dataDxfId="93" dataCellStyle="Procentowy">
      <calculatedColumnFormula>SUM(H2:J2)</calculatedColumnFormula>
    </tableColumn>
    <tableColumn id="8" xr3:uid="{00000000-0010-0000-0C00-000008000000}" name="Mikro2" dataDxfId="92" dataCellStyle="Procentowy"/>
    <tableColumn id="9" xr3:uid="{00000000-0010-0000-0C00-000009000000}" name="Małe2" dataDxfId="91" dataCellStyle="Procentowy"/>
    <tableColumn id="10" xr3:uid="{00000000-0010-0000-0C00-00000A000000}" name="Średnie2" dataDxfId="90" dataCellStyle="Procentowy"/>
    <tableColumn id="11" xr3:uid="{00000000-0010-0000-0C00-00000B000000}" name="% odrzuconych " dataDxfId="89" dataCellStyle="Procentowy"/>
    <tableColumn id="12" xr3:uid="{00000000-0010-0000-0C00-00000C000000}" name="Szacowana luka finansowania dłużnego (mln zł)" dataDxfId="88" dataCellStyle="Dziesiętny"/>
    <tableColumn id="13" xr3:uid="{00000000-0010-0000-0C00-00000D000000}" name="Mikro3" dataDxfId="87" dataCellStyle="Dziesiętny"/>
    <tableColumn id="14" xr3:uid="{00000000-0010-0000-0C00-00000E000000}" name="Małe3" dataDxfId="86" dataCellStyle="Dziesiętny"/>
    <tableColumn id="15" xr3:uid="{00000000-0010-0000-0C00-00000F000000}" name="Średnie3" dataDxfId="85" dataCellStyle="Dziesiętny"/>
    <tableColumn id="16" xr3:uid="{00000000-0010-0000-0C00-000010000000}" name="% problem z zabezpieczeniem" dataDxfId="84" dataCellStyle="Procentowy"/>
    <tableColumn id="17" xr3:uid="{00000000-0010-0000-0C00-000011000000}" name="% zabezpieczenia kredytu" dataDxfId="83" dataCellStyle="Procentowy"/>
    <tableColumn id="18" xr3:uid="{00000000-0010-0000-0C00-000012000000}" name="Mnożnik" dataDxfId="82" dataCellStyle="Procentowy"/>
    <tableColumn id="19" xr3:uid="{00000000-0010-0000-0C00-000013000000}" name="Szacowana luka gwarancji (mln zł)" dataDxfId="81" dataCellStyle="Dziesiętny"/>
    <tableColumn id="20" xr3:uid="{00000000-0010-0000-0C00-000014000000}" name="Mikro4" dataDxfId="80" dataCellStyle="Dziesiętny"/>
    <tableColumn id="21" xr3:uid="{00000000-0010-0000-0C00-000015000000}" name="Małe4" dataDxfId="79" dataCellStyle="Dziesiętny"/>
    <tableColumn id="22" xr3:uid="{00000000-0010-0000-0C00-000016000000}" name="Średnie4" dataDxfId="78" dataCellStyle="Dziesiętny"/>
    <tableColumn id="23" xr3:uid="{00000000-0010-0000-0C00-000017000000}" name="Szacowana luka pożyczek (mln zł)" dataDxfId="77" dataCellStyle="Dziesiętny"/>
    <tableColumn id="24" xr3:uid="{00000000-0010-0000-0C00-000018000000}" name="Mikro5" dataDxfId="76" dataCellStyle="Dziesiętny"/>
    <tableColumn id="25" xr3:uid="{00000000-0010-0000-0C00-000019000000}" name="Małe5" dataDxfId="75" dataCellStyle="Dziesiętny"/>
    <tableColumn id="26" xr3:uid="{00000000-0010-0000-0C00-00001A000000}" name="Średnie5" dataDxfId="74" dataCellStyle="Dziesiętny"/>
    <tableColumn id="27" xr3:uid="{00000000-0010-0000-0C00-00001B000000}" name="Szacowana luka finansowania dłużnego (mln zł)16" dataDxfId="73" dataCellStyle="Dziesiętny"/>
    <tableColumn id="28" xr3:uid="{00000000-0010-0000-0C00-00001C000000}" name="Mikro6" dataDxfId="72" dataCellStyle="Dziesiętny"/>
    <tableColumn id="29" xr3:uid="{00000000-0010-0000-0C00-00001D000000}" name="Małe6" dataDxfId="71" dataCellStyle="Dziesiętny"/>
    <tableColumn id="30" xr3:uid="{00000000-0010-0000-0C00-00001E000000}" name="Średnie6" dataDxfId="70" dataCellStyle="Dziesiętny"/>
    <tableColumn id="31" xr3:uid="{359669D5-34CE-4432-8159-7B2AAD7AB658}" name="Ekstrapolacja trendu do 2030" dataDxfId="69" dataCellStyle="Dziesiętny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Luka finansowania dłużnego w latach 2020-2029" altTextSummary="Tabela przedstawia szacowaną wartość luki finansowania dłużnego w podziale nalata 2020-2029"/>
    </ext>
  </extLst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D000000}" name="Tabela17" displayName="Tabela17" ref="A1:W19" totalsRowCount="1" headerRowDxfId="68" dataDxfId="67" tableBorderDxfId="66" headerRowCellStyle="Kolumna" dataCellStyle="Dziesiętny 2">
  <autoFilter ref="A1:W18" xr:uid="{00000000-0009-0000-0100-000011000000}"/>
  <tableColumns count="23">
    <tableColumn id="1" xr3:uid="{00000000-0010-0000-0D00-000001000000}" name="Nazwa jednostki terytorialnej" dataDxfId="65" totalsRowDxfId="22"/>
    <tableColumn id="2" xr3:uid="{00000000-0010-0000-0D00-000002000000}" name="Szacowana średnia, roczna liczba nowopowstałych przedsiębiorstw niefinansowych (netto) " dataDxfId="64" totalsRowDxfId="21"/>
    <tableColumn id="3" xr3:uid="{00000000-0010-0000-0D00-000003000000}" name="Odsetek firm innowacyjnych w skali rynku" dataDxfId="63" totalsRowDxfId="20" dataCellStyle="Procentowy" totalsRowCellStyle="Procentowy"/>
    <tableColumn id="4" xr3:uid="{00000000-0010-0000-0D00-000004000000}" name="Szacowana liczba nowopowstałych firm innowacyjnych w skali rynku (startup)" dataDxfId="62" totalsRowDxfId="19">
      <calculatedColumnFormula>B2*C2</calculatedColumnFormula>
    </tableColumn>
    <tableColumn id="5" xr3:uid="{00000000-0010-0000-0D00-000005000000}" name="Odsetek startupów korzystajacy z finansowania zewnętrznego" dataDxfId="61" totalsRowDxfId="18" dataCellStyle="Procentowy" totalsRowCellStyle="Procentowy"/>
    <tableColumn id="6" xr3:uid="{00000000-0010-0000-0D00-000006000000}" name="Szacowana liczba startupów finansujących się środkami zewnętrznymi" dataDxfId="60" totalsRowDxfId="17">
      <calculatedColumnFormula>D2*E2</calculatedColumnFormula>
    </tableColumn>
    <tableColumn id="7" xr3:uid="{00000000-0010-0000-0D00-000007000000}" name="Odsetek startupów zainteresowanych finansowaniem kapitałowym" dataDxfId="59" totalsRowDxfId="16" dataCellStyle="Procentowy" totalsRowCellStyle="Procentowy"/>
    <tableColumn id="8" xr3:uid="{00000000-0010-0000-0D00-000008000000}" name="Szacowana liczba startupów zainteresowana finansowaniem kapitałowym" dataDxfId="58" totalsRowDxfId="15">
      <calculatedColumnFormula>F2*G2</calculatedColumnFormula>
    </tableColumn>
    <tableColumn id="9" xr3:uid="{00000000-0010-0000-0D00-000009000000}" name="Szacowany odsetek startupów w fazie wzrostu" dataDxfId="57" totalsRowDxfId="14" dataCellStyle="Procentowy" totalsRowCellStyle="Procentowy"/>
    <tableColumn id="10" xr3:uid="{00000000-0010-0000-0D00-00000A000000}" name="Liczba startupów - faza wzrostu " dataDxfId="56" totalsRowDxfId="13" dataCellStyle="Procentowy" totalsRowCellStyle="Procentowy">
      <calculatedColumnFormula>H2*I2</calculatedColumnFormula>
    </tableColumn>
    <tableColumn id="11" xr3:uid="{00000000-0010-0000-0D00-00000B000000}" name="Liczba startupów - faza wczesna" dataDxfId="55" totalsRowDxfId="12" dataCellStyle="Procentowy" totalsRowCellStyle="Procentowy">
      <calculatedColumnFormula>H2-J2</calculatedColumnFormula>
    </tableColumn>
    <tableColumn id="12" xr3:uid="{00000000-0010-0000-0D00-00000C000000}" name="Odsetek startupów uzyskujący finansowanie kapitałowe" dataDxfId="54" totalsRowDxfId="11" dataCellStyle="Procentowy" totalsRowCellStyle="Procentowy"/>
    <tableColumn id="13" xr3:uid="{00000000-0010-0000-0D00-00000D000000}" name="Liczba startupów, które pozyskają finansowanie - faza wzrostu" dataDxfId="53" totalsRowDxfId="10" dataCellStyle="Procentowy" totalsRowCellStyle="Procentowy">
      <calculatedColumnFormula>J2*L2</calculatedColumnFormula>
    </tableColumn>
    <tableColumn id="14" xr3:uid="{00000000-0010-0000-0D00-00000E000000}" name="Liczba startupów, które pozyskają finansowania - wczesna faza" dataDxfId="52" totalsRowDxfId="9" dataCellStyle="Procentowy" totalsRowCellStyle="Procentowy">
      <calculatedColumnFormula>K2*L2</calculatedColumnFormula>
    </tableColumn>
    <tableColumn id="15" xr3:uid="{00000000-0010-0000-0D00-00000F000000}" name="Średnia wielkość inwestycji w fazie wzrostu (tys zł)" dataDxfId="51" totalsRowDxfId="8" dataCellStyle="Procentowy" totalsRowCellStyle="Procentowy">
      <calculatedColumnFormula>0.93*21000</calculatedColumnFormula>
    </tableColumn>
    <tableColumn id="16" xr3:uid="{00000000-0010-0000-0D00-000010000000}" name="Średnia wielkość inwestycji - wczesna faza (tys. zł)" dataDxfId="50" totalsRowDxfId="7" dataCellStyle="Dziesiętny 2" totalsRowCellStyle="Dziesiętny 2">
      <calculatedColumnFormula>0.93*1500</calculatedColumnFormula>
    </tableColumn>
    <tableColumn id="17" xr3:uid="{00000000-0010-0000-0D00-000011000000}" name="Zapotrzebowanie na finansowanie kapitałowe- faza wzrostu (mln zł)" dataDxfId="49" totalsRowDxfId="6" dataCellStyle="Dziesiętny 2" totalsRowCellStyle="Dziesiętny 2">
      <calculatedColumnFormula>J2*O$4/1000</calculatedColumnFormula>
    </tableColumn>
    <tableColumn id="18" xr3:uid="{00000000-0010-0000-0D00-000012000000}" name="Zapotrzebowanie na finansowanie kapitałowe- wczesna faza (mln zł)" dataDxfId="48" totalsRowDxfId="5" dataCellStyle="Dziesiętny 2" totalsRowCellStyle="Dziesiętny 2">
      <calculatedColumnFormula>K2*P$4/1000</calculatedColumnFormula>
    </tableColumn>
    <tableColumn id="19" xr3:uid="{00000000-0010-0000-0D00-000013000000}" name="Uzyskane finansowanie (faza wzrostu) mln zł" dataDxfId="47" totalsRowDxfId="4" dataCellStyle="Dziesiętny 2" totalsRowCellStyle="Dziesiętny 2">
      <calculatedColumnFormula>M2*O$4/1000</calculatedColumnFormula>
    </tableColumn>
    <tableColumn id="20" xr3:uid="{00000000-0010-0000-0D00-000014000000}" name="Uzsykane finansowanie (faza wczesna) mln zł" dataDxfId="46" totalsRowDxfId="3" dataCellStyle="Dziesiętny 2" totalsRowCellStyle="Dziesiętny 2">
      <calculatedColumnFormula>N2*P$4/1000</calculatedColumnFormula>
    </tableColumn>
    <tableColumn id="21" xr3:uid="{00000000-0010-0000-0D00-000015000000}" name="Luka w dostępie do finansowania - faza wzrostu (mln zł)" dataDxfId="45" totalsRowDxfId="2" dataCellStyle="Dziesiętny 2" totalsRowCellStyle="Dziesiętny 2">
      <calculatedColumnFormula>Q2-S2</calculatedColumnFormula>
    </tableColumn>
    <tableColumn id="22" xr3:uid="{00000000-0010-0000-0D00-000016000000}" name="Luka w dostępie do finansowania - wczesna faza (mln zł)" totalsRowLabel=" Udział dla Województwa Wielkopolskiego: " dataDxfId="44" totalsRowDxfId="1" dataCellStyle="Dziesiętny 2" totalsRowCellStyle="Dziesiętny 2">
      <calculatedColumnFormula>R2-T2</calculatedColumnFormula>
    </tableColumn>
    <tableColumn id="23" xr3:uid="{00000000-0010-0000-0D00-000017000000}" name="Luka kapitałowa łącznie 2020" totalsRowFunction="custom" dataDxfId="43" totalsRowDxfId="0" dataCellStyle="Dziesiętny 2" totalsRowCellStyle="Procentowy">
      <calculatedColumnFormula>SUM(U2:V2)</calculatedColumnFormula>
      <totalsRowFormula>W17/W2</totalsRow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Luka kapitałowa dla startupów" altTextSummary="Tabela przedstawia wyliczenia dla luki kapitałowej startupów w 2020 r. z podziałem na dazę wczesną i fazę wzrostu."/>
    </ext>
  </extLst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0E000000}" name="Tabela1619" displayName="Tabela1619" ref="A1:O13" totalsRowShown="0" headerRowDxfId="42" dataDxfId="40" headerRowBorderDxfId="41" tableBorderDxfId="39" totalsRowBorderDxfId="38" headerRowCellStyle="Nagłówek 1" dataCellStyle="Dziesiętny">
  <autoFilter ref="A1:O13" xr:uid="{00000000-0009-0000-0100-000012000000}"/>
  <tableColumns count="15">
    <tableColumn id="1" xr3:uid="{00000000-0010-0000-0E00-000001000000}" name="Rok" dataDxfId="37"/>
    <tableColumn id="2" xr3:uid="{00000000-0010-0000-0E00-000002000000}" name="Nakłady łącznie MŚP (w mln zł)" dataDxfId="36"/>
    <tableColumn id="31" xr3:uid="{00000000-0010-0000-0E00-00001F000000}" name="Odsetek zapotrzebowania na finansowanie kapitałowe - faza wzrostu" dataDxfId="35">
      <calculatedColumnFormula>SUBTOTAL(109,C1)</calculatedColumnFormula>
    </tableColumn>
    <tableColumn id="3" xr3:uid="{00000000-0010-0000-0E00-000003000000}" name="Odsetek zapotrzebowania na finansowanie kapitałowe - faza wczesna" dataDxfId="34"/>
    <tableColumn id="4" xr3:uid="{00000000-0010-0000-0E00-000004000000}" name="Watość zapotrzebowania - faza wzrostu" dataDxfId="33"/>
    <tableColumn id="5" xr3:uid="{00000000-0010-0000-0E00-000005000000}" name="Watość zapotrzebowania - faza wzrostu2" dataDxfId="32"/>
    <tableColumn id="6" xr3:uid="{00000000-0010-0000-0E00-000006000000}" name="Odsetek uzyskujących finansowanie" dataDxfId="31" dataCellStyle="Procentowy"/>
    <tableColumn id="7" xr3:uid="{00000000-0010-0000-0E00-000007000000}" name="Uzyskane finansowanie - faza wzrostu" dataDxfId="30" dataCellStyle="Procentowy">
      <calculatedColumnFormula>SUM(I2:K2)</calculatedColumnFormula>
    </tableColumn>
    <tableColumn id="8" xr3:uid="{00000000-0010-0000-0E00-000008000000}" name="Uzyskane finansowanie - faza wczesna" dataDxfId="29" dataCellStyle="Procentowy"/>
    <tableColumn id="9" xr3:uid="{00000000-0010-0000-0E00-000009000000}" name="Luka kapitałowa - faza wzrostu" dataDxfId="28" dataCellStyle="Procentowy"/>
    <tableColumn id="10" xr3:uid="{00000000-0010-0000-0E00-00000A000000}" name="Luka kapitałowa - faza wczesna" dataDxfId="27" dataCellStyle="Procentowy"/>
    <tableColumn id="32" xr3:uid="{00000000-0010-0000-0E00-000020000000}" name="Luka kapitałowa - razem" dataDxfId="26" dataCellStyle="Dziesiętny"/>
    <tableColumn id="11" xr3:uid="{00468127-598F-4A8A-B37C-55809237A5A8}" name="Luka kapitałowa - Wielkopolska" dataDxfId="25" dataCellStyle="Dziesiętny"/>
    <tableColumn id="12" xr3:uid="{7CEA4828-A5B2-4C58-BBBB-7EA05C9A4608}" name="Ekstrapolacja do 2030 - współczynniki" dataDxfId="24" dataCellStyle="Dziesiętny"/>
    <tableColumn id="13" xr3:uid="{9E0D5F78-B3E7-4400-A841-7296C814D304}" name="Ekstrapolacja do 2030 - luka" dataDxfId="23" dataCellStyle="Dziesiętny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Luka finansowania kapitałowego  w latach 2020-2029" altTextSummary="Tabela przedstawia szacowaną wartość luki finansowania kapitałowego w podziale na lata 2020-2029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ela3" displayName="Tabela3" ref="A1:M20" totalsRowShown="0" headerRowDxfId="554" dataDxfId="553" tableBorderDxfId="552" totalsRowBorderDxfId="551" headerRowCellStyle="Nagłówek 1" dataCellStyle="Normalny 2">
  <autoFilter ref="A1:M20" xr:uid="{00000000-0009-0000-0100-000003000000}"/>
  <tableColumns count="13">
    <tableColumn id="1" xr3:uid="{00000000-0010-0000-0100-000001000000}" name="Nazwa" dataDxfId="550" dataCellStyle="Normalny 2"/>
    <tableColumn id="2" xr3:uid="{00000000-0010-0000-0100-000002000000}" name="2019" dataDxfId="549" dataCellStyle="Normalny 2">
      <calculatedColumnFormula>B$2*'5.1.1 PKB'!C2</calculatedColumnFormula>
    </tableColumn>
    <tableColumn id="3" xr3:uid="{00000000-0010-0000-0100-000003000000}" name="2020" dataDxfId="548" dataCellStyle="Normalny 2">
      <calculatedColumnFormula>C$2*'5.1.1 PKB'!D2</calculatedColumnFormula>
    </tableColumn>
    <tableColumn id="4" xr3:uid="{00000000-0010-0000-0100-000004000000}" name="2021" dataDxfId="547" dataCellStyle="Normalny 2">
      <calculatedColumnFormula>D$2*'5.1.1 PKB'!E2</calculatedColumnFormula>
    </tableColumn>
    <tableColumn id="5" xr3:uid="{00000000-0010-0000-0100-000005000000}" name="2022" dataDxfId="546" dataCellStyle="Normalny 2">
      <calculatedColumnFormula>E$2*'5.1.1 PKB'!F2</calculatedColumnFormula>
    </tableColumn>
    <tableColumn id="6" xr3:uid="{00000000-0010-0000-0100-000006000000}" name="2023" dataDxfId="545" dataCellStyle="Normalny 2">
      <calculatedColumnFormula>F$2*'5.1.1 PKB'!G2</calculatedColumnFormula>
    </tableColumn>
    <tableColumn id="7" xr3:uid="{00000000-0010-0000-0100-000007000000}" name="2024" dataDxfId="544" dataCellStyle="Normalny 2">
      <calculatedColumnFormula>G$2*'5.1.1 PKB'!H2</calculatedColumnFormula>
    </tableColumn>
    <tableColumn id="8" xr3:uid="{00000000-0010-0000-0100-000008000000}" name="2025" dataDxfId="543" dataCellStyle="Normalny 2">
      <calculatedColumnFormula>H$2*'5.1.1 PKB'!I2</calculatedColumnFormula>
    </tableColumn>
    <tableColumn id="9" xr3:uid="{00000000-0010-0000-0100-000009000000}" name="2026" dataDxfId="542" dataCellStyle="Normalny 2">
      <calculatedColumnFormula>I$2*'5.1.1 PKB'!J2</calculatedColumnFormula>
    </tableColumn>
    <tableColumn id="10" xr3:uid="{00000000-0010-0000-0100-00000A000000}" name="2027" dataDxfId="541" dataCellStyle="Normalny 2">
      <calculatedColumnFormula>J$2*'5.1.1 PKB'!K2</calculatedColumnFormula>
    </tableColumn>
    <tableColumn id="11" xr3:uid="{00000000-0010-0000-0100-00000B000000}" name="2028" dataDxfId="540" dataCellStyle="Normalny 2">
      <calculatedColumnFormula>K$2*'5.1.1 PKB'!L2</calculatedColumnFormula>
    </tableColumn>
    <tableColumn id="12" xr3:uid="{00000000-0010-0000-0100-00000C000000}" name="2029" dataDxfId="539" dataCellStyle="Normalny 2">
      <calculatedColumnFormula>L$2*'5.1.1 PKB'!M2</calculatedColumnFormula>
    </tableColumn>
    <tableColumn id="13" xr3:uid="{00000000-0010-0000-0100-00000D000000}" name="2030" dataDxfId="538" dataCellStyle="Normalny 2">
      <calculatedColumnFormula>M$2*'5.1.1 PKB'!N2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Nakłady na B+R" altTextSummary="Tabela przedstawia prognozowane nakłady na B+R w relacji do PKB dla lat 2019-2030.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abela5" displayName="Tabela5" ref="A1:BO19" totalsRowCount="1" headerRowDxfId="537" dataDxfId="536" tableBorderDxfId="535" headerRowCellStyle="Nagłówek 1" dataCellStyle="Dziesiętny">
  <autoFilter ref="A1:BO18" xr:uid="{00000000-0009-0000-0100-000005000000}"/>
  <tableColumns count="67">
    <tableColumn id="1" xr3:uid="{00000000-0010-0000-0200-000001000000}" name="Nazwa jednostki terytorialnej" dataDxfId="534" totalsRowDxfId="533"/>
    <tableColumn id="2" xr3:uid="{00000000-0010-0000-0200-000002000000}" name="Nakłady na rzeczowe aktywa trwałe w 2018 - Ogółem (w tys. zł)" dataDxfId="532" totalsRowDxfId="531" dataCellStyle="Dziesiętny">
      <calculatedColumnFormula>Tabela5[[#This Row],[MŚP]]+Tabela5[[#This Row],[Duże]]</calculatedColumnFormula>
    </tableColumn>
    <tableColumn id="3" xr3:uid="{00000000-0010-0000-0200-000003000000}" name="MŚP" dataDxfId="530" totalsRowDxfId="529" dataCellStyle="Dziesiętny">
      <calculatedColumnFormula>SUM(D2:F2)</calculatedColumnFormula>
    </tableColumn>
    <tableColumn id="4" xr3:uid="{00000000-0010-0000-0200-000004000000}" name="Mikro" dataDxfId="528" totalsRowDxfId="527" dataCellStyle="Dziesiętny"/>
    <tableColumn id="5" xr3:uid="{00000000-0010-0000-0200-000005000000}" name="Małe" dataDxfId="526" totalsRowDxfId="525" dataCellStyle="Dziesiętny"/>
    <tableColumn id="6" xr3:uid="{00000000-0010-0000-0200-000006000000}" name="Średnie" dataDxfId="524" totalsRowDxfId="523" dataCellStyle="Dziesiętny"/>
    <tableColumn id="7" xr3:uid="{00000000-0010-0000-0200-000007000000}" name="Duże" dataDxfId="522" totalsRowDxfId="521" dataCellStyle="Dziesiętny"/>
    <tableColumn id="8" xr3:uid="{00000000-0010-0000-0200-000008000000}" name="Nakłady na kapitał obrotowy w 2018 - Ogółem (w tys. zł)" dataDxfId="520" totalsRowDxfId="519" dataCellStyle="Dziesiętny">
      <calculatedColumnFormula>SUM(J2:M2)</calculatedColumnFormula>
    </tableColumn>
    <tableColumn id="9" xr3:uid="{00000000-0010-0000-0200-000009000000}" name="MŚP2" dataDxfId="518" totalsRowDxfId="517" dataCellStyle="Dziesiętny">
      <calculatedColumnFormula>SUM(J2:L2)</calculatedColumnFormula>
    </tableColumn>
    <tableColumn id="10" xr3:uid="{00000000-0010-0000-0200-00000A000000}" name="Mikro2" dataDxfId="516" totalsRowDxfId="515" dataCellStyle="Dziesiętny">
      <calculatedColumnFormula>D2*40/60</calculatedColumnFormula>
    </tableColumn>
    <tableColumn id="11" xr3:uid="{00000000-0010-0000-0200-00000B000000}" name="Małe2" dataDxfId="514" totalsRowDxfId="513" dataCellStyle="Dziesiętny">
      <calculatedColumnFormula>E2*40/60</calculatedColumnFormula>
    </tableColumn>
    <tableColumn id="12" xr3:uid="{00000000-0010-0000-0200-00000C000000}" name="Średnie2" dataDxfId="512" totalsRowDxfId="511" dataCellStyle="Dziesiętny">
      <calculatedColumnFormula>F2*40/60</calculatedColumnFormula>
    </tableColumn>
    <tableColumn id="13" xr3:uid="{00000000-0010-0000-0200-00000D000000}" name="Duże2" dataDxfId="510" totalsRowDxfId="509" dataCellStyle="Dziesiętny">
      <calculatedColumnFormula>G2*40/60</calculatedColumnFormula>
    </tableColumn>
    <tableColumn id="14" xr3:uid="{00000000-0010-0000-0200-00000E000000}" name="Nakłady na B+R w 2018 - Ogółem (w tys. zł)" dataDxfId="508" totalsRowDxfId="507" dataCellStyle="Dziesiętny"/>
    <tableColumn id="15" xr3:uid="{00000000-0010-0000-0200-00000F000000}" name="MŚP3" dataDxfId="506" totalsRowDxfId="505" dataCellStyle="Dziesiętny">
      <calculatedColumnFormula>SUM(P2:R2)</calculatedColumnFormula>
    </tableColumn>
    <tableColumn id="16" xr3:uid="{00000000-0010-0000-0200-000010000000}" name="Mikro3" dataDxfId="504" totalsRowDxfId="503" dataCellStyle="Dziesiętny">
      <calculatedColumnFormula>N2*2.6%</calculatedColumnFormula>
    </tableColumn>
    <tableColumn id="17" xr3:uid="{00000000-0010-0000-0200-000011000000}" name="Małe3" dataDxfId="502" totalsRowDxfId="501" dataCellStyle="Dziesiętny">
      <calculatedColumnFormula>N2*9.9%</calculatedColumnFormula>
    </tableColumn>
    <tableColumn id="18" xr3:uid="{00000000-0010-0000-0200-000012000000}" name="Średnie3" dataDxfId="500" totalsRowDxfId="499" dataCellStyle="Dziesiętny">
      <calculatedColumnFormula>N2*20.7%</calculatedColumnFormula>
    </tableColumn>
    <tableColumn id="19" xr3:uid="{00000000-0010-0000-0200-000013000000}" name="Duże3" dataDxfId="498" totalsRowDxfId="497" dataCellStyle="Dziesiętny">
      <calculatedColumnFormula>N2*66.8%</calculatedColumnFormula>
    </tableColumn>
    <tableColumn id="20" xr3:uid="{00000000-0010-0000-0200-000014000000}" name="Nakłady razem w 2018 - Ogółem (w tys. zł)" dataDxfId="496" totalsRowDxfId="495" dataCellStyle="Dziesiętny">
      <calculatedColumnFormula>SUM(V2:Y2)</calculatedColumnFormula>
    </tableColumn>
    <tableColumn id="21" xr3:uid="{00000000-0010-0000-0200-000015000000}" name="MŚP4" dataDxfId="494" totalsRowDxfId="493" dataCellStyle="Dziesiętny">
      <calculatedColumnFormula>SUM(V2:X2)</calculatedColumnFormula>
    </tableColumn>
    <tableColumn id="22" xr3:uid="{00000000-0010-0000-0200-000016000000}" name="Mikro4" dataDxfId="492" totalsRowDxfId="491" dataCellStyle="Dziesiętny">
      <calculatedColumnFormula>SUM(D2,J2,P2)</calculatedColumnFormula>
    </tableColumn>
    <tableColumn id="23" xr3:uid="{00000000-0010-0000-0200-000017000000}" name="Małe4" dataDxfId="490" totalsRowDxfId="489" dataCellStyle="Dziesiętny">
      <calculatedColumnFormula>SUM(E2,K2,Q2)</calculatedColumnFormula>
    </tableColumn>
    <tableColumn id="24" xr3:uid="{00000000-0010-0000-0200-000018000000}" name="Średnie4" dataDxfId="488" totalsRowDxfId="487" dataCellStyle="Dziesiętny">
      <calculatedColumnFormula>SUM(F2,L2,R2)</calculatedColumnFormula>
    </tableColumn>
    <tableColumn id="25" xr3:uid="{00000000-0010-0000-0200-000019000000}" name="Duże4" dataDxfId="486" totalsRowDxfId="485" dataCellStyle="Dziesiętny">
      <calculatedColumnFormula>SUM(G2,M2,S2)</calculatedColumnFormula>
    </tableColumn>
    <tableColumn id="26" xr3:uid="{00000000-0010-0000-0200-00001A000000}" name="Odsetek przedsiębiorst w nakładach w 2018 - Ogółem (w tys. zł)" dataDxfId="484" totalsRowDxfId="483" dataCellStyle="Procentowy"/>
    <tableColumn id="27" xr3:uid="{00000000-0010-0000-0200-00001B000000}" name="MŚP5" dataDxfId="482" totalsRowDxfId="481" dataCellStyle="Procentowy">
      <calculatedColumnFormula>U2/T2</calculatedColumnFormula>
    </tableColumn>
    <tableColumn id="28" xr3:uid="{00000000-0010-0000-0200-00001C000000}" name="Mikro5" dataDxfId="480" totalsRowDxfId="479" dataCellStyle="Procentowy">
      <calculatedColumnFormula>V2/T2</calculatedColumnFormula>
    </tableColumn>
    <tableColumn id="29" xr3:uid="{00000000-0010-0000-0200-00001D000000}" name="Małe5" dataDxfId="478" totalsRowDxfId="477" dataCellStyle="Procentowy">
      <calculatedColumnFormula>W2/T2</calculatedColumnFormula>
    </tableColumn>
    <tableColumn id="30" xr3:uid="{00000000-0010-0000-0200-00001E000000}" name="Średnie5" dataDxfId="476" totalsRowDxfId="475" dataCellStyle="Procentowy">
      <calculatedColumnFormula>X2/T2</calculatedColumnFormula>
    </tableColumn>
    <tableColumn id="31" xr3:uid="{00000000-0010-0000-0200-00001F000000}" name="Duże5" dataDxfId="474" totalsRowDxfId="473" dataCellStyle="Procentowy">
      <calculatedColumnFormula>Y2/T2</calculatedColumnFormula>
    </tableColumn>
    <tableColumn id="32" xr3:uid="{00000000-0010-0000-0200-000020000000}" name="Szacowane nakłady na rzeczowe aktywa trwałe w 2019 - Ogółem (w tys. zł)" dataDxfId="472" totalsRowDxfId="471" dataCellStyle="Dziesiętny">
      <calculatedColumnFormula>SUM(AH2:AK2)</calculatedColumnFormula>
    </tableColumn>
    <tableColumn id="33" xr3:uid="{00000000-0010-0000-0200-000021000000}" name="MŚP6" dataDxfId="470" totalsRowDxfId="469" dataCellStyle="Dziesiętny">
      <calculatedColumnFormula>SUM(AH2:AJ2)</calculatedColumnFormula>
    </tableColumn>
    <tableColumn id="34" xr3:uid="{00000000-0010-0000-0200-000022000000}" name="Mikro6" dataDxfId="468" totalsRowDxfId="467" dataCellStyle="Dziesiętny">
      <calculatedColumnFormula>D2*106.6%</calculatedColumnFormula>
    </tableColumn>
    <tableColumn id="35" xr3:uid="{00000000-0010-0000-0200-000023000000}" name="Małe6" dataDxfId="466" totalsRowDxfId="465" dataCellStyle="Dziesiętny">
      <calculatedColumnFormula>E2*106.6%</calculatedColumnFormula>
    </tableColumn>
    <tableColumn id="36" xr3:uid="{00000000-0010-0000-0200-000024000000}" name="Średnie6" dataDxfId="464" totalsRowDxfId="463" dataCellStyle="Dziesiętny">
      <calculatedColumnFormula>F2*106.6%</calculatedColumnFormula>
    </tableColumn>
    <tableColumn id="37" xr3:uid="{00000000-0010-0000-0200-000025000000}" name="Duże6" dataDxfId="462" totalsRowDxfId="461" dataCellStyle="Dziesiętny">
      <calculatedColumnFormula>G2*106.6%</calculatedColumnFormula>
    </tableColumn>
    <tableColumn id="38" xr3:uid="{00000000-0010-0000-0200-000026000000}" name="Prognozowane nakłady na rzeczowe aktywa trwałe w 2020 - Ogółem (w tys. zł)" dataDxfId="460" totalsRowDxfId="459" dataCellStyle="Dziesiętny">
      <calculatedColumnFormula>SUM(AN2:AQ2)</calculatedColumnFormula>
    </tableColumn>
    <tableColumn id="39" xr3:uid="{00000000-0010-0000-0200-000027000000}" name="MŚP7" dataDxfId="458" totalsRowDxfId="457" dataCellStyle="Dziesiętny">
      <calculatedColumnFormula>SUM(AN2:AP2)</calculatedColumnFormula>
    </tableColumn>
    <tableColumn id="40" xr3:uid="{00000000-0010-0000-0200-000028000000}" name="Mikro7" dataDxfId="456" totalsRowDxfId="455" dataCellStyle="Dziesiętny">
      <calculatedColumnFormula>AH2*102.68%</calculatedColumnFormula>
    </tableColumn>
    <tableColumn id="41" xr3:uid="{00000000-0010-0000-0200-000029000000}" name="Małe7" dataDxfId="454" totalsRowDxfId="453" dataCellStyle="Dziesiętny">
      <calculatedColumnFormula>AI2*102.68%</calculatedColumnFormula>
    </tableColumn>
    <tableColumn id="42" xr3:uid="{00000000-0010-0000-0200-00002A000000}" name="Średnie7" dataDxfId="452" totalsRowDxfId="451" dataCellStyle="Dziesiętny">
      <calculatedColumnFormula>AJ2*102.68%</calculatedColumnFormula>
    </tableColumn>
    <tableColumn id="43" xr3:uid="{00000000-0010-0000-0200-00002B000000}" name="Duże7" dataDxfId="450" totalsRowDxfId="449" dataCellStyle="Dziesiętny">
      <calculatedColumnFormula>AK2*102.68%</calculatedColumnFormula>
    </tableColumn>
    <tableColumn id="44" xr3:uid="{00000000-0010-0000-0200-00002C000000}" name="Nakłady na kapitał obrotowy w 2020 - Ogółem (w tys. zł)" dataDxfId="448" totalsRowDxfId="447" dataCellStyle="Dziesiętny">
      <calculatedColumnFormula>SUM(AT2:AW2)</calculatedColumnFormula>
    </tableColumn>
    <tableColumn id="45" xr3:uid="{00000000-0010-0000-0200-00002D000000}" name="MŚP8" dataDxfId="446" totalsRowDxfId="445" dataCellStyle="Dziesiętny">
      <calculatedColumnFormula>SUM(AT2:AV2)</calculatedColumnFormula>
    </tableColumn>
    <tableColumn id="46" xr3:uid="{00000000-0010-0000-0200-00002E000000}" name="Mikro8" dataDxfId="444" totalsRowDxfId="443" dataCellStyle="Dziesiętny">
      <calculatedColumnFormula>AN2*40/60</calculatedColumnFormula>
    </tableColumn>
    <tableColumn id="47" xr3:uid="{00000000-0010-0000-0200-00002F000000}" name="Małe8" dataDxfId="442" totalsRowDxfId="441" dataCellStyle="Dziesiętny">
      <calculatedColumnFormula>AO2*40/60</calculatedColumnFormula>
    </tableColumn>
    <tableColumn id="48" xr3:uid="{00000000-0010-0000-0200-000030000000}" name="Średnie8" dataDxfId="440" totalsRowDxfId="439" dataCellStyle="Dziesiętny">
      <calculatedColumnFormula>AP2*40/60</calculatedColumnFormula>
    </tableColumn>
    <tableColumn id="49" xr3:uid="{00000000-0010-0000-0200-000031000000}" name="Duże8" dataDxfId="438" totalsRowDxfId="437" dataCellStyle="Dziesiętny">
      <calculatedColumnFormula>AQ2*40/60</calculatedColumnFormula>
    </tableColumn>
    <tableColumn id="50" xr3:uid="{00000000-0010-0000-0200-000032000000}" name="Nakłady na B+R w 2019 - Ogółem (w tys. zł)" dataDxfId="436" totalsRowDxfId="435" dataCellStyle="Dziesiętny">
      <calculatedColumnFormula>'5.1.1 Nakłady B+R'!B2*1000</calculatedColumnFormula>
    </tableColumn>
    <tableColumn id="51" xr3:uid="{00000000-0010-0000-0200-000033000000}" name="MŚP9" dataDxfId="434" totalsRowDxfId="433" dataCellStyle="Dziesiętny">
      <calculatedColumnFormula>SUM(AZ2:BB2)</calculatedColumnFormula>
    </tableColumn>
    <tableColumn id="52" xr3:uid="{00000000-0010-0000-0200-000034000000}" name="Mikro9" dataDxfId="432" totalsRowDxfId="431" dataCellStyle="Dziesiętny">
      <calculatedColumnFormula>AX2*2.82%</calculatedColumnFormula>
    </tableColumn>
    <tableColumn id="53" xr3:uid="{00000000-0010-0000-0200-000035000000}" name="Małe9" dataDxfId="430" totalsRowDxfId="429" dataCellStyle="Dziesiętny">
      <calculatedColumnFormula>AX2*9.69%</calculatedColumnFormula>
    </tableColumn>
    <tableColumn id="54" xr3:uid="{00000000-0010-0000-0200-000036000000}" name="Średnie9" dataDxfId="428" totalsRowDxfId="427" dataCellStyle="Dziesiętny">
      <calculatedColumnFormula>AX2*21.54%</calculatedColumnFormula>
    </tableColumn>
    <tableColumn id="55" xr3:uid="{00000000-0010-0000-0200-000037000000}" name="Duże9" dataDxfId="426" totalsRowDxfId="425" dataCellStyle="Dziesiętny">
      <calculatedColumnFormula>AX2*65.95%</calculatedColumnFormula>
    </tableColumn>
    <tableColumn id="56" xr3:uid="{00000000-0010-0000-0200-000038000000}" name="Nakłady na B+R w 2020 - Ogółem  (w tys. zł)" dataDxfId="424" totalsRowDxfId="423" dataCellStyle="Dziesiętny">
      <calculatedColumnFormula>'5.1.1 Nakłady B+R'!C2*1000</calculatedColumnFormula>
    </tableColumn>
    <tableColumn id="57" xr3:uid="{00000000-0010-0000-0200-000039000000}" name="MŚP10" dataDxfId="422" totalsRowDxfId="421" dataCellStyle="Dziesiętny">
      <calculatedColumnFormula>SUM(BF2:BH2)</calculatedColumnFormula>
    </tableColumn>
    <tableColumn id="58" xr3:uid="{00000000-0010-0000-0200-00003A000000}" name="Mikro10" dataDxfId="420" totalsRowDxfId="419" dataCellStyle="Dziesiętny">
      <calculatedColumnFormula>BD2*2.82%</calculatedColumnFormula>
    </tableColumn>
    <tableColumn id="59" xr3:uid="{00000000-0010-0000-0200-00003B000000}" name="Małe10" dataDxfId="418" totalsRowDxfId="417" dataCellStyle="Dziesiętny">
      <calculatedColumnFormula>BD2*9.69%</calculatedColumnFormula>
    </tableColumn>
    <tableColumn id="60" xr3:uid="{00000000-0010-0000-0200-00003C000000}" name="Średnie10" dataDxfId="416" totalsRowDxfId="415" dataCellStyle="Dziesiętny">
      <calculatedColumnFormula>BD2*21.54%</calculatedColumnFormula>
    </tableColumn>
    <tableColumn id="61" xr3:uid="{00000000-0010-0000-0200-00003D000000}" name="Duże10" dataDxfId="414" totalsRowDxfId="413" dataCellStyle="Dziesiętny">
      <calculatedColumnFormula>BD2*65.95%</calculatedColumnFormula>
    </tableColumn>
    <tableColumn id="62" xr3:uid="{00000000-0010-0000-0200-00003E000000}" name="Nakłady łącznie w 2020 - Ogółem (w tys. zł)" dataDxfId="412" totalsRowDxfId="411" dataCellStyle="Dziesiętny">
      <calculatedColumnFormula>SUM(BL2:BO2)</calculatedColumnFormula>
    </tableColumn>
    <tableColumn id="63" xr3:uid="{00000000-0010-0000-0200-00003F000000}" name="MŚP11" dataDxfId="410" totalsRowDxfId="409" dataCellStyle="Dziesiętny">
      <calculatedColumnFormula>SUM(BL2:BN2)</calculatedColumnFormula>
    </tableColumn>
    <tableColumn id="64" xr3:uid="{00000000-0010-0000-0200-000040000000}" name="Mikro11" dataDxfId="408" totalsRowDxfId="407" dataCellStyle="Dziesiętny">
      <calculatedColumnFormula>BF2+AT2+AN2</calculatedColumnFormula>
    </tableColumn>
    <tableColumn id="65" xr3:uid="{00000000-0010-0000-0200-000041000000}" name="Małe11" dataDxfId="406" totalsRowDxfId="405" dataCellStyle="Dziesiętny">
      <calculatedColumnFormula>BG2+AU2+AO2</calculatedColumnFormula>
    </tableColumn>
    <tableColumn id="66" xr3:uid="{00000000-0010-0000-0200-000042000000}" name="Średnie11" dataDxfId="404" totalsRowDxfId="403" dataCellStyle="Dziesiętny">
      <calculatedColumnFormula>BH2+AV2+AP2</calculatedColumnFormula>
    </tableColumn>
    <tableColumn id="67" xr3:uid="{00000000-0010-0000-0200-000043000000}" name="Duże11" dataDxfId="402" totalsRowDxfId="401" dataCellStyle="Dziesiętny">
      <calculatedColumnFormula>BI2+AW2+AQ2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Nakłady finansowe przedsiębiorstw razem" altTextSummary="Tabela przedstawia historyczne oraz szacowane nakłady na rzeczowe aktywa trwałe, obrotowe i B+R w latach 2018- 2020. Dane dla kraju i poszczególnych województw.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3000000}" name="Tabela2" displayName="Tabela2" ref="A1:Y12" totalsRowShown="0" headerRowDxfId="400" dataDxfId="399" tableBorderDxfId="398" headerRowCellStyle="Nagłówek 1" dataCellStyle="Dziesiętny">
  <autoFilter ref="A1:Y12" xr:uid="{00000000-0009-0000-0100-000002000000}"/>
  <tableColumns count="25">
    <tableColumn id="1" xr3:uid="{00000000-0010-0000-0300-000001000000}" name="Rok" dataDxfId="397"/>
    <tableColumn id="2" xr3:uid="{00000000-0010-0000-0300-000002000000}" name="Nakłady na rzeczowe aktywa trwałe - Ogółem (w mln zł) " dataDxfId="396" dataCellStyle="Dziesiętny"/>
    <tableColumn id="3" xr3:uid="{00000000-0010-0000-0300-000003000000}" name="MŚP" dataDxfId="395" dataCellStyle="Dziesiętny"/>
    <tableColumn id="4" xr3:uid="{00000000-0010-0000-0300-000004000000}" name="Mikro" dataDxfId="394" dataCellStyle="Dziesiętny"/>
    <tableColumn id="5" xr3:uid="{00000000-0010-0000-0300-000005000000}" name="Małe" dataDxfId="393" dataCellStyle="Dziesiętny"/>
    <tableColumn id="6" xr3:uid="{00000000-0010-0000-0300-000006000000}" name="Średnie" dataDxfId="392" dataCellStyle="Dziesiętny"/>
    <tableColumn id="7" xr3:uid="{00000000-0010-0000-0300-000007000000}" name="Duże" dataDxfId="391" dataCellStyle="Dziesiętny"/>
    <tableColumn id="8" xr3:uid="{00000000-0010-0000-0300-000008000000}" name="Nakłady na kapitał obrotowy - Ogółem (mln zł)" dataDxfId="390" dataCellStyle="Dziesiętny"/>
    <tableColumn id="9" xr3:uid="{00000000-0010-0000-0300-000009000000}" name="MŚP2" dataDxfId="389" dataCellStyle="Dziesiętny"/>
    <tableColumn id="10" xr3:uid="{00000000-0010-0000-0300-00000A000000}" name="Mikro2" dataDxfId="388" dataCellStyle="Dziesiętny"/>
    <tableColumn id="11" xr3:uid="{00000000-0010-0000-0300-00000B000000}" name="Małe2" dataDxfId="387" dataCellStyle="Dziesiętny"/>
    <tableColumn id="12" xr3:uid="{00000000-0010-0000-0300-00000C000000}" name="Średnie2" dataDxfId="386" dataCellStyle="Dziesiętny"/>
    <tableColumn id="13" xr3:uid="{00000000-0010-0000-0300-00000D000000}" name="Duże2" dataDxfId="385" dataCellStyle="Dziesiętny"/>
    <tableColumn id="14" xr3:uid="{00000000-0010-0000-0300-00000E000000}" name="Nakłady na B+R - Ogółem  (mln zł)" dataDxfId="384" dataCellStyle="Dziesiętny"/>
    <tableColumn id="15" xr3:uid="{00000000-0010-0000-0300-00000F000000}" name="MŚP3" dataDxfId="383" dataCellStyle="Dziesiętny"/>
    <tableColumn id="16" xr3:uid="{00000000-0010-0000-0300-000010000000}" name="Mikro3" dataDxfId="382" dataCellStyle="Dziesiętny"/>
    <tableColumn id="17" xr3:uid="{00000000-0010-0000-0300-000011000000}" name="Małe3" dataDxfId="381" dataCellStyle="Dziesiętny"/>
    <tableColumn id="18" xr3:uid="{00000000-0010-0000-0300-000012000000}" name="Średnie3" dataDxfId="380" dataCellStyle="Dziesiętny"/>
    <tableColumn id="19" xr3:uid="{00000000-0010-0000-0300-000013000000}" name="Duże3" dataDxfId="379" dataCellStyle="Dziesiętny"/>
    <tableColumn id="20" xr3:uid="{00000000-0010-0000-0300-000014000000}" name="Nakłady łącznie - Ogółem (mln zł) " dataDxfId="378" dataCellStyle="Dziesiętny"/>
    <tableColumn id="21" xr3:uid="{00000000-0010-0000-0300-000015000000}" name="MŚP4" dataDxfId="377" dataCellStyle="Dziesiętny"/>
    <tableColumn id="22" xr3:uid="{00000000-0010-0000-0300-000016000000}" name="Mikro4" dataDxfId="376" dataCellStyle="Dziesiętny"/>
    <tableColumn id="23" xr3:uid="{00000000-0010-0000-0300-000017000000}" name="Małe4" dataDxfId="375" dataCellStyle="Dziesiętny"/>
    <tableColumn id="24" xr3:uid="{00000000-0010-0000-0300-000018000000}" name="Średnie4" dataDxfId="374" dataCellStyle="Dziesiętny"/>
    <tableColumn id="25" xr3:uid="{00000000-0010-0000-0300-000019000000}" name="Duże4" dataDxfId="373" dataCellStyle="Dziesiętny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Nakłady finansowe w latach 2020-2029" altTextSummary="Tabela przedstawia wartość nakładów na rzeczowe aktywa trwałe, na kapitał obrotowy oraz na B+R w latach 2020-2029.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4000000}" name="Tabela4" displayName="Tabela4" ref="A1:AG20" totalsRowShown="0" headerRowDxfId="372" dataDxfId="370" headerRowBorderDxfId="371" tableBorderDxfId="369" headerRowCellStyle="Nagłówek 1">
  <autoFilter ref="A1:AG20" xr:uid="{00000000-0009-0000-0100-000004000000}"/>
  <tableColumns count="33">
    <tableColumn id="1" xr3:uid="{00000000-0010-0000-0400-000001000000}" name="Oznaczenie"/>
    <tableColumn id="2" xr3:uid="{00000000-0010-0000-0400-000002000000}" name="Potrzeby Inw. MŚP (mln zł)"/>
    <tableColumn id="3" xr3:uid="{00000000-0010-0000-0400-000003000000}" name="Potrzeby Inw. Duże (mln zł)" dataDxfId="368"/>
    <tableColumn id="4" xr3:uid="{00000000-0010-0000-0400-000004000000}" name="Potrzeby Inw. Razem (mln zł)" dataDxfId="367">
      <calculatedColumnFormula>SUM(B2:C2)</calculatedColumnFormula>
    </tableColumn>
    <tableColumn id="5" xr3:uid="{00000000-0010-0000-0400-000005000000}" name="Potrzeby Obrotowe MŚP (mln zł)" dataDxfId="366">
      <calculatedColumnFormula>B2*40/60</calculatedColumnFormula>
    </tableColumn>
    <tableColumn id="6" xr3:uid="{00000000-0010-0000-0400-000006000000}" name="Potrzeby Obrotowe Duże (mln zł)" dataDxfId="365">
      <calculatedColumnFormula>C2*40/60</calculatedColumnFormula>
    </tableColumn>
    <tableColumn id="7" xr3:uid="{00000000-0010-0000-0400-000007000000}" name="Potrzeby Obrotowe Razem (mln zł)" dataDxfId="364">
      <calculatedColumnFormula>D2*40/60</calculatedColumnFormula>
    </tableColumn>
    <tableColumn id="8" xr3:uid="{00000000-0010-0000-0400-000008000000}" name="Potrzeby inw-obr. MŚP (mln zł)" dataDxfId="363">
      <calculatedColumnFormula>SUM(B2,E2)</calculatedColumnFormula>
    </tableColumn>
    <tableColumn id="9" xr3:uid="{00000000-0010-0000-0400-000009000000}" name="Potrzeby inw-obr. Duże (mln zł)" dataDxfId="362">
      <calculatedColumnFormula>C2+F2</calculatedColumnFormula>
    </tableColumn>
    <tableColumn id="10" xr3:uid="{00000000-0010-0000-0400-00000A000000}" name="Potrzeby inw-obr. Razem (mln zł)" dataDxfId="361">
      <calculatedColumnFormula>SUM(H2:I2)</calculatedColumnFormula>
    </tableColumn>
    <tableColumn id="11" xr3:uid="{00000000-0010-0000-0400-00000B000000}" name="Potrzeby B+R MŚP (mln zł)" dataDxfId="360"/>
    <tableColumn id="12" xr3:uid="{00000000-0010-0000-0400-00000C000000}" name="Potrzeby B+R Duże (mln zł)" dataDxfId="359"/>
    <tableColumn id="13" xr3:uid="{00000000-0010-0000-0400-00000D000000}" name="Potrzeby B+R Razem (mln zł)" dataDxfId="358">
      <calculatedColumnFormula>SUM(K2:L2)</calculatedColumnFormula>
    </tableColumn>
    <tableColumn id="14" xr3:uid="{00000000-0010-0000-0400-00000E000000}" name="Łączne potrzeby MŚP (mln zł)" dataDxfId="357">
      <calculatedColumnFormula>H2+K2</calculatedColumnFormula>
    </tableColumn>
    <tableColumn id="15" xr3:uid="{00000000-0010-0000-0400-00000F000000}" name="Łączne potrzeby Duże (mln zł)" dataDxfId="356">
      <calculatedColumnFormula>I2+L2</calculatedColumnFormula>
    </tableColumn>
    <tableColumn id="16" xr3:uid="{00000000-0010-0000-0400-000010000000}" name="Łączne potrzeby Razem (mln zł)" dataDxfId="355">
      <calculatedColumnFormula>SUM(N2:O2)</calculatedColumnFormula>
    </tableColumn>
    <tableColumn id="17" xr3:uid="{00000000-0010-0000-0400-000011000000}" name="Finansowanie zew. inw-obr. (29,7%) MŚP" dataDxfId="354">
      <calculatedColumnFormula>H2*29%</calculatedColumnFormula>
    </tableColumn>
    <tableColumn id="18" xr3:uid="{00000000-0010-0000-0400-000012000000}" name="Finansowanie zew. inw-obr. (29,7%) Duże" dataDxfId="353">
      <calculatedColumnFormula>I2*29%</calculatedColumnFormula>
    </tableColumn>
    <tableColumn id="19" xr3:uid="{00000000-0010-0000-0400-000013000000}" name="Finansowanie zew. inw-obr. (29,7%) Razem" dataDxfId="352">
      <calculatedColumnFormula>SUM(Q2:R2)</calculatedColumnFormula>
    </tableColumn>
    <tableColumn id="20" xr3:uid="{00000000-0010-0000-0400-000014000000}" name="Finansowanie zew. B+R (22,6%) MŚP" dataDxfId="351">
      <calculatedColumnFormula>K2*23%</calculatedColumnFormula>
    </tableColumn>
    <tableColumn id="21" xr3:uid="{00000000-0010-0000-0400-000015000000}" name="Finansowanie zew. B+R (22,6%) Duże" dataDxfId="350">
      <calculatedColumnFormula>L2*23%</calculatedColumnFormula>
    </tableColumn>
    <tableColumn id="22" xr3:uid="{00000000-0010-0000-0400-000016000000}" name="Finansowanie zew. B+R (22,6%) Razem" dataDxfId="349">
      <calculatedColumnFormula>SUM(T2:U2)</calculatedColumnFormula>
    </tableColumn>
    <tableColumn id="23" xr3:uid="{00000000-0010-0000-0400-000017000000}" name="Finansowanie zew. Razem MŚP (mln zł)" dataDxfId="348">
      <calculatedColumnFormula>SUM(Q2,T2)</calculatedColumnFormula>
    </tableColumn>
    <tableColumn id="24" xr3:uid="{00000000-0010-0000-0400-000018000000}" name="Finansowanie zew. Razem Duże (mln zł)" dataDxfId="347">
      <calculatedColumnFormula>R2+U2</calculatedColumnFormula>
    </tableColumn>
    <tableColumn id="25" xr3:uid="{00000000-0010-0000-0400-000019000000}" name="Finansowanie zew. Razem Razem (mln zł)" dataDxfId="346">
      <calculatedColumnFormula>SUM(W2:X2)</calculatedColumnFormula>
    </tableColumn>
    <tableColumn id="26" xr3:uid="{00000000-0010-0000-0400-00001A000000}" name="Kredyt MŚP" dataDxfId="345">
      <calculatedColumnFormula>W2*Z$2</calculatedColumnFormula>
    </tableColumn>
    <tableColumn id="27" xr3:uid="{00000000-0010-0000-0400-00001B000000}" name="Dotacje MŚP" dataDxfId="344">
      <calculatedColumnFormula>W2*AA$2</calculatedColumnFormula>
    </tableColumn>
    <tableColumn id="28" xr3:uid="{00000000-0010-0000-0400-00001C000000}" name="leasing MŚP" dataDxfId="343" dataCellStyle="Dziesiętny">
      <calculatedColumnFormula>W2*AB$2</calculatedColumnFormula>
    </tableColumn>
    <tableColumn id="29" xr3:uid="{00000000-0010-0000-0400-00001D000000}" name="Inne MŚP" dataDxfId="342">
      <calculatedColumnFormula>W2*AC$2</calculatedColumnFormula>
    </tableColumn>
    <tableColumn id="30" xr3:uid="{00000000-0010-0000-0400-00001E000000}" name="Kredyt Duże" dataDxfId="341">
      <calculatedColumnFormula>X2*AD$2</calculatedColumnFormula>
    </tableColumn>
    <tableColumn id="31" xr3:uid="{00000000-0010-0000-0400-00001F000000}" name="Dotacje Duże" dataDxfId="340">
      <calculatedColumnFormula>X2*AE$2</calculatedColumnFormula>
    </tableColumn>
    <tableColumn id="32" xr3:uid="{00000000-0010-0000-0400-000020000000}" name="leasing Duże" dataDxfId="339" dataCellStyle="Dziesiętny">
      <calculatedColumnFormula>X2*AF$2</calculatedColumnFormula>
    </tableColumn>
    <tableColumn id="33" xr3:uid="{00000000-0010-0000-0400-000021000000}" name="Inne Duże" dataDxfId="338">
      <calculatedColumnFormula>X2*AG$2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Zewnętrzne źródła finansowania" altTextSummary="Tabela przedstawia dane na temat zewnętrznych źródeł finansowania działalności w 2020 r.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5000000}" name="Tabela11" displayName="Tabela11" ref="A1:X13" totalsRowShown="0" headerRowDxfId="337" dataDxfId="336" tableBorderDxfId="335" headerRowCellStyle="Nagłówek 1">
  <autoFilter ref="A1:X13" xr:uid="{00000000-0009-0000-0100-00000B000000}"/>
  <tableColumns count="24">
    <tableColumn id="1" xr3:uid="{00000000-0010-0000-0500-000001000000}" name="Rok" dataDxfId="334"/>
    <tableColumn id="2" xr3:uid="{00000000-0010-0000-0500-000002000000}" name="Potrzeby B+R" dataDxfId="333"/>
    <tableColumn id="3" xr3:uid="{00000000-0010-0000-0500-000003000000}" name="Potrzeby B+R " dataDxfId="332"/>
    <tableColumn id="4" xr3:uid="{00000000-0010-0000-0500-000004000000}" name="Potrzeby B+R2" dataDxfId="331"/>
    <tableColumn id="5" xr3:uid="{00000000-0010-0000-0500-000005000000}" name="% zew. " dataDxfId="330"/>
    <tableColumn id="6" xr3:uid="{00000000-0010-0000-0500-000006000000}" name="Finansowanie zew. B+R " dataDxfId="329"/>
    <tableColumn id="7" xr3:uid="{00000000-0010-0000-0500-000007000000}" name="Finansowanie zew. B+R 2" dataDxfId="328"/>
    <tableColumn id="8" xr3:uid="{00000000-0010-0000-0500-000008000000}" name="Finansowanie zew. B+R 3" dataDxfId="327"/>
    <tableColumn id="9" xr3:uid="{00000000-0010-0000-0500-000009000000}" name="Potrzeby obrotowe" dataDxfId="326"/>
    <tableColumn id="10" xr3:uid="{00000000-0010-0000-0500-00000A000000}" name="Potrzeby obrotowe2" dataDxfId="325"/>
    <tableColumn id="11" xr3:uid="{00000000-0010-0000-0500-00000B000000}" name="Potrzeby obrotowe3" dataDxfId="324"/>
    <tableColumn id="12" xr3:uid="{00000000-0010-0000-0500-00000C000000}" name="Potrzeby inwestycyjne" dataDxfId="323"/>
    <tableColumn id="13" xr3:uid="{00000000-0010-0000-0500-00000D000000}" name="Potrzeby inwestycyjne2" dataDxfId="322"/>
    <tableColumn id="14" xr3:uid="{00000000-0010-0000-0500-00000E000000}" name="Potrzeby inwestycyjne3" dataDxfId="321"/>
    <tableColumn id="15" xr3:uid="{00000000-0010-0000-0500-00000F000000}" name="Potrzeby inwestycyjno-obrotowe" dataDxfId="320"/>
    <tableColumn id="16" xr3:uid="{00000000-0010-0000-0500-000010000000}" name="Potrzeby inwestycyjno-obrotowe2" dataDxfId="319"/>
    <tableColumn id="17" xr3:uid="{00000000-0010-0000-0500-000011000000}" name="Potrzeby inwestycyjno-obrotowe3" dataDxfId="318">
      <calculatedColumnFormula>SUM(O2:P2)</calculatedColumnFormula>
    </tableColumn>
    <tableColumn id="18" xr3:uid="{00000000-0010-0000-0500-000012000000}" name="% zew." dataDxfId="317"/>
    <tableColumn id="19" xr3:uid="{00000000-0010-0000-0500-000013000000}" name="Finansowanie zew. (inw.-obr)" dataDxfId="316"/>
    <tableColumn id="20" xr3:uid="{00000000-0010-0000-0500-000014000000}" name="Finansowanie zew. (inw.-obr)2" dataDxfId="315"/>
    <tableColumn id="21" xr3:uid="{00000000-0010-0000-0500-000015000000}" name="Finansowanie zew. (inw.-obr)3" dataDxfId="314"/>
    <tableColumn id="22" xr3:uid="{00000000-0010-0000-0500-000016000000}" name="Finansowanie zew. Razem" dataDxfId="313"/>
    <tableColumn id="23" xr3:uid="{00000000-0010-0000-0500-000017000000}" name="Finansowanie zew. Razem2" dataDxfId="312"/>
    <tableColumn id="24" xr3:uid="{00000000-0010-0000-0500-000018000000}" name="Finansowanie zew. Razem3" dataDxfId="311">
      <calculatedColumnFormula>SUM(V2:W2)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Żródła finansowania zewnętrznego w latach 2020-2029" altTextSummary="Tabela przedstawia wielkość finansowania zewnętrznego w latach 2020-2029.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6000000}" name="Tabela12" displayName="Tabela12" ref="A1:AY21" totalsRowShown="0" headerRowDxfId="310" dataDxfId="309" tableBorderDxfId="308" dataCellStyle="Procentowy">
  <autoFilter ref="A1:AY21" xr:uid="{00000000-0009-0000-0100-00000C000000}"/>
  <tableColumns count="51">
    <tableColumn id="1" xr3:uid="{00000000-0010-0000-0600-000001000000}" name="Oznaczenie" dataDxfId="307"/>
    <tableColumn id="2" xr3:uid="{00000000-0010-0000-0600-000002000000}" name="I" dataDxfId="306" dataCellStyle="Dziesiętny"/>
    <tableColumn id="3" xr3:uid="{00000000-0010-0000-0600-000003000000}" name="Kolumna1" dataDxfId="305" dataCellStyle="Dziesiętny"/>
    <tableColumn id="4" xr3:uid="{00000000-0010-0000-0600-000004000000}" name="Kolumna2" dataDxfId="304" dataCellStyle="Dziesiętny"/>
    <tableColumn id="5" xr3:uid="{00000000-0010-0000-0600-000005000000}" name="Kolumna3" dataDxfId="303" dataCellStyle="Dziesiętny"/>
    <tableColumn id="6" xr3:uid="{00000000-0010-0000-0600-000006000000}" name="Kolumna4" dataDxfId="302" dataCellStyle="Dziesiętny"/>
    <tableColumn id="7" xr3:uid="{00000000-0010-0000-0600-000007000000}" name="II" dataDxfId="301" dataCellStyle="Dziesiętny"/>
    <tableColumn id="8" xr3:uid="{00000000-0010-0000-0600-000008000000}" name="Kolumna5" dataDxfId="300" dataCellStyle="Dziesiętny"/>
    <tableColumn id="9" xr3:uid="{00000000-0010-0000-0600-000009000000}" name="Kolumna6" dataDxfId="299" dataCellStyle="Dziesiętny"/>
    <tableColumn id="10" xr3:uid="{00000000-0010-0000-0600-00000A000000}" name="Kolumna7" dataDxfId="298" dataCellStyle="Dziesiętny"/>
    <tableColumn id="11" xr3:uid="{00000000-0010-0000-0600-00000B000000}" name="Kolumna8" dataDxfId="297" dataCellStyle="Dziesiętny"/>
    <tableColumn id="12" xr3:uid="{00000000-0010-0000-0600-00000C000000}" name="III" dataDxfId="296" dataCellStyle="Procentowy">
      <calculatedColumnFormula>G2/B2</calculatedColumnFormula>
    </tableColumn>
    <tableColumn id="13" xr3:uid="{00000000-0010-0000-0600-00000D000000}" name="Kolumna9" dataDxfId="295" dataCellStyle="Procentowy">
      <calculatedColumnFormula>H2/C2</calculatedColumnFormula>
    </tableColumn>
    <tableColumn id="14" xr3:uid="{00000000-0010-0000-0600-00000E000000}" name="Kolumna10" dataDxfId="294" dataCellStyle="Procentowy">
      <calculatedColumnFormula>I2/D2</calculatedColumnFormula>
    </tableColumn>
    <tableColumn id="15" xr3:uid="{00000000-0010-0000-0600-00000F000000}" name="Kolumna11" dataDxfId="293" dataCellStyle="Procentowy">
      <calculatedColumnFormula>J2/E2</calculatedColumnFormula>
    </tableColumn>
    <tableColumn id="16" xr3:uid="{00000000-0010-0000-0600-000010000000}" name="Kolumna12" dataDxfId="292" dataCellStyle="Procentowy">
      <calculatedColumnFormula>K2/F2</calculatedColumnFormula>
    </tableColumn>
    <tableColumn id="17" xr3:uid="{00000000-0010-0000-0600-000011000000}" name="IV" dataDxfId="291" dataCellStyle="Dziesiętny"/>
    <tableColumn id="18" xr3:uid="{00000000-0010-0000-0600-000012000000}" name="Kolumna13" dataDxfId="290" dataCellStyle="Dziesiętny"/>
    <tableColumn id="19" xr3:uid="{00000000-0010-0000-0600-000013000000}" name="Kolumna14" dataDxfId="289" dataCellStyle="Dziesiętny"/>
    <tableColumn id="20" xr3:uid="{00000000-0010-0000-0600-000014000000}" name="Kolumna15" dataDxfId="288" dataCellStyle="Dziesiętny"/>
    <tableColumn id="21" xr3:uid="{00000000-0010-0000-0600-000015000000}" name="Kolumna16" dataDxfId="287" dataCellStyle="Dziesiętny"/>
    <tableColumn id="22" xr3:uid="{00000000-0010-0000-0600-000016000000}" name="V" dataDxfId="286" dataCellStyle="Procentowy">
      <calculatedColumnFormula>Q2/G2</calculatedColumnFormula>
    </tableColumn>
    <tableColumn id="23" xr3:uid="{00000000-0010-0000-0600-000017000000}" name="Kolumna17" dataDxfId="285" dataCellStyle="Procentowy">
      <calculatedColumnFormula>R2/H2</calculatedColumnFormula>
    </tableColumn>
    <tableColumn id="24" xr3:uid="{00000000-0010-0000-0600-000018000000}" name="Kolumna18" dataDxfId="284" dataCellStyle="Procentowy">
      <calculatedColumnFormula>S2/I2</calculatedColumnFormula>
    </tableColumn>
    <tableColumn id="25" xr3:uid="{00000000-0010-0000-0600-000019000000}" name="Kolumna19" dataDxfId="283" dataCellStyle="Procentowy">
      <calculatedColumnFormula>T2/J2</calculatedColumnFormula>
    </tableColumn>
    <tableColumn id="26" xr3:uid="{00000000-0010-0000-0600-00001A000000}" name="Kolumna20" dataDxfId="282" dataCellStyle="Procentowy">
      <calculatedColumnFormula>U2/K2</calculatedColumnFormula>
    </tableColumn>
    <tableColumn id="27" xr3:uid="{00000000-0010-0000-0600-00001B000000}" name="VI" dataDxfId="281" dataCellStyle="Dziesiętny"/>
    <tableColumn id="28" xr3:uid="{00000000-0010-0000-0600-00001C000000}" name="Kolumna21" dataDxfId="280" dataCellStyle="Dziesiętny"/>
    <tableColumn id="29" xr3:uid="{00000000-0010-0000-0600-00001D000000}" name="Kolumna22" dataDxfId="279" dataCellStyle="Dziesiętny"/>
    <tableColumn id="30" xr3:uid="{00000000-0010-0000-0600-00001E000000}" name="Kolumna23" dataDxfId="278" dataCellStyle="Dziesiętny"/>
    <tableColumn id="31" xr3:uid="{00000000-0010-0000-0600-00001F000000}" name="Kolumna24" dataDxfId="277" dataCellStyle="Dziesiętny"/>
    <tableColumn id="32" xr3:uid="{00000000-0010-0000-0600-000020000000}" name="VII" dataDxfId="276" dataCellStyle="Procentowy">
      <calculatedColumnFormula>AA2/Q2</calculatedColumnFormula>
    </tableColumn>
    <tableColumn id="33" xr3:uid="{00000000-0010-0000-0600-000021000000}" name="Kolumna25" dataDxfId="275" dataCellStyle="Procentowy">
      <calculatedColumnFormula>AB2/R2</calculatedColumnFormula>
    </tableColumn>
    <tableColumn id="34" xr3:uid="{00000000-0010-0000-0600-000022000000}" name="Kolumna26" dataDxfId="274" dataCellStyle="Procentowy">
      <calculatedColumnFormula>AC2/S2</calculatedColumnFormula>
    </tableColumn>
    <tableColumn id="35" xr3:uid="{00000000-0010-0000-0600-000023000000}" name="Kolumna27" dataDxfId="273" dataCellStyle="Procentowy">
      <calculatedColumnFormula>AD2/T2</calculatedColumnFormula>
    </tableColumn>
    <tableColumn id="36" xr3:uid="{00000000-0010-0000-0600-000024000000}" name="Kolumna28" dataDxfId="272" dataCellStyle="Procentowy">
      <calculatedColumnFormula>AE2/U2</calculatedColumnFormula>
    </tableColumn>
    <tableColumn id="37" xr3:uid="{00000000-0010-0000-0600-000025000000}" name="VIII" dataDxfId="271" dataCellStyle="Dziesiętny"/>
    <tableColumn id="38" xr3:uid="{00000000-0010-0000-0600-000026000000}" name="Kolumna29" dataDxfId="270" dataCellStyle="Dziesiętny"/>
    <tableColumn id="39" xr3:uid="{00000000-0010-0000-0600-000027000000}" name="Kolumna30" dataDxfId="269" dataCellStyle="Dziesiętny"/>
    <tableColumn id="40" xr3:uid="{00000000-0010-0000-0600-000028000000}" name="Kolumna31" dataDxfId="268" dataCellStyle="Dziesiętny"/>
    <tableColumn id="41" xr3:uid="{00000000-0010-0000-0600-000029000000}" name="Kolumna32" dataDxfId="267" dataCellStyle="Dziesiętny"/>
    <tableColumn id="42" xr3:uid="{00000000-0010-0000-0600-00002A000000}" name="IX" dataDxfId="266" dataCellStyle="Procentowy">
      <calculatedColumnFormula>AK2/AA2</calculatedColumnFormula>
    </tableColumn>
    <tableColumn id="43" xr3:uid="{00000000-0010-0000-0600-00002B000000}" name="Kolumna33" dataDxfId="265" dataCellStyle="Procentowy">
      <calculatedColumnFormula>AL2/AB2</calculatedColumnFormula>
    </tableColumn>
    <tableColumn id="44" xr3:uid="{00000000-0010-0000-0600-00002C000000}" name="Kolumna34" dataDxfId="264" dataCellStyle="Procentowy">
      <calculatedColumnFormula>AM2/AC2</calculatedColumnFormula>
    </tableColumn>
    <tableColumn id="45" xr3:uid="{00000000-0010-0000-0600-00002D000000}" name="Kolumna35" dataDxfId="263" dataCellStyle="Procentowy">
      <calculatedColumnFormula>AN2/AD2</calculatedColumnFormula>
    </tableColumn>
    <tableColumn id="46" xr3:uid="{00000000-0010-0000-0600-00002E000000}" name="Kolumna36" dataDxfId="262" dataCellStyle="Procentowy">
      <calculatedColumnFormula>AO2/AE2</calculatedColumnFormula>
    </tableColumn>
    <tableColumn id="47" xr3:uid="{00000000-0010-0000-0600-00002F000000}" name="X" dataDxfId="261" dataCellStyle="Procentowy">
      <calculatedColumnFormula>AVERAGE(AP2,AF2,V2,L2)</calculatedColumnFormula>
    </tableColumn>
    <tableColumn id="48" xr3:uid="{00000000-0010-0000-0600-000030000000}" name="Kolumna37" dataDxfId="260" dataCellStyle="Procentowy">
      <calculatedColumnFormula>AVERAGE(AQ2,AG2,W2,M2)</calculatedColumnFormula>
    </tableColumn>
    <tableColumn id="49" xr3:uid="{00000000-0010-0000-0600-000031000000}" name="Kolumna38" dataDxfId="259" dataCellStyle="Procentowy">
      <calculatedColumnFormula>AVERAGE(AR2,AH2,X2,N2)</calculatedColumnFormula>
    </tableColumn>
    <tableColumn id="50" xr3:uid="{00000000-0010-0000-0600-000032000000}" name="Kolumna39" dataDxfId="258" dataCellStyle="Procentowy">
      <calculatedColumnFormula>AVERAGE(AS2,AI2,Y2,O2)</calculatedColumnFormula>
    </tableColumn>
    <tableColumn id="51" xr3:uid="{00000000-0010-0000-0600-000033000000}" name="Kolumna40" dataDxfId="257" dataCellStyle="Procentowy">
      <calculatedColumnFormula>AVERAGE(AT2,AJ2,Z2,P2)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Podmioty REGON" altTextSummary="Tabela przedstawia dane na temat podmiotów zarejestrowanych w bazie REGON w latach 2015-2019.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7000000}" name="Tabela13" displayName="Tabela13" ref="A1:Q21" totalsRowShown="0" headerRowDxfId="256" dataDxfId="254" headerRowBorderDxfId="255" tableBorderDxfId="253">
  <autoFilter ref="A1:Q21" xr:uid="{00000000-0009-0000-0100-00000D000000}"/>
  <tableColumns count="17">
    <tableColumn id="1" xr3:uid="{00000000-0010-0000-0700-000001000000}" name="Oznaczenie" dataDxfId="252"/>
    <tableColumn id="2" xr3:uid="{00000000-0010-0000-0700-000002000000}" name="I" dataDxfId="251" dataCellStyle="Dziesiętny"/>
    <tableColumn id="3" xr3:uid="{00000000-0010-0000-0700-000003000000}" name="Kolumna1" dataDxfId="250" dataCellStyle="Dziesiętny"/>
    <tableColumn id="4" xr3:uid="{00000000-0010-0000-0700-000004000000}" name="Kolumna2" dataDxfId="249" dataCellStyle="Dziesiętny"/>
    <tableColumn id="5" xr3:uid="{00000000-0010-0000-0700-000005000000}" name="Kolumna3" dataDxfId="248"/>
    <tableColumn id="6" xr3:uid="{00000000-0010-0000-0700-000006000000}" name="Kolumna4" dataDxfId="247"/>
    <tableColumn id="7" xr3:uid="{00000000-0010-0000-0700-000007000000}" name="II" dataDxfId="246"/>
    <tableColumn id="8" xr3:uid="{00000000-0010-0000-0700-000008000000}" name="Kolumna5" dataDxfId="245"/>
    <tableColumn id="9" xr3:uid="{00000000-0010-0000-0700-000009000000}" name="Kolumna6" dataDxfId="244"/>
    <tableColumn id="10" xr3:uid="{00000000-0010-0000-0700-00000A000000}" name="Kolumna7" dataDxfId="243"/>
    <tableColumn id="11" xr3:uid="{00000000-0010-0000-0700-00000B000000}" name="Kolumna8" dataDxfId="242"/>
    <tableColumn id="12" xr3:uid="{00000000-0010-0000-0700-00000C000000}" name="III" dataDxfId="241">
      <calculatedColumnFormula>B2-G2</calculatedColumnFormula>
    </tableColumn>
    <tableColumn id="13" xr3:uid="{00000000-0010-0000-0700-00000D000000}" name="Kolumna9" dataDxfId="240">
      <calculatedColumnFormula>C2-H2</calculatedColumnFormula>
    </tableColumn>
    <tableColumn id="14" xr3:uid="{00000000-0010-0000-0700-00000E000000}" name="Kolumna10" dataDxfId="239">
      <calculatedColumnFormula>D2-I2</calculatedColumnFormula>
    </tableColumn>
    <tableColumn id="15" xr3:uid="{00000000-0010-0000-0700-00000F000000}" name="Kolumna11" dataDxfId="238">
      <calculatedColumnFormula>E2-J2</calculatedColumnFormula>
    </tableColumn>
    <tableColumn id="16" xr3:uid="{00000000-0010-0000-0700-000010000000}" name="Kolumna12" dataDxfId="237">
      <calculatedColumnFormula>F2-K2</calculatedColumnFormula>
    </tableColumn>
    <tableColumn id="17" xr3:uid="{00000000-0010-0000-0700-000011000000}" name="IV" dataDxfId="236">
      <calculatedColumnFormula>AVERAGE(L2:P2)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Liczba przedsiębiorstw nowopowstałych" altTextSummary="Tabela przedstawia dane na temat liczby podmiotów nowo zarejestrowanych oraz wyrejestrowanych w latach 2015-2019._x000d__x000a_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8000000}" name="Tabela14" displayName="Tabela14" ref="A1:Y21" totalsRowShown="0" headerRowDxfId="235" dataDxfId="233" headerRowBorderDxfId="234" tableBorderDxfId="232" dataCellStyle="Dziesiętny">
  <autoFilter ref="A1:Y21" xr:uid="{00000000-0009-0000-0100-00000E000000}"/>
  <tableColumns count="25">
    <tableColumn id="1" xr3:uid="{00000000-0010-0000-0800-000001000000}" name="Oznaczenie" dataDxfId="231"/>
    <tableColumn id="2" xr3:uid="{00000000-0010-0000-0800-000002000000}" name="I" dataDxfId="230"/>
    <tableColumn id="3" xr3:uid="{00000000-0010-0000-0800-000003000000}" name="Kolumna1" dataDxfId="229">
      <calculatedColumnFormula>SUM(D2:F2)</calculatedColumnFormula>
    </tableColumn>
    <tableColumn id="4" xr3:uid="{00000000-0010-0000-0800-000004000000}" name="Kolumna2" dataDxfId="228"/>
    <tableColumn id="5" xr3:uid="{00000000-0010-0000-0800-000005000000}" name="Kolumna3" dataDxfId="227"/>
    <tableColumn id="6" xr3:uid="{00000000-0010-0000-0800-000006000000}" name="Kolumna4" dataDxfId="226"/>
    <tableColumn id="7" xr3:uid="{00000000-0010-0000-0800-000007000000}" name="Kolumna5" dataDxfId="225"/>
    <tableColumn id="8" xr3:uid="{00000000-0010-0000-0800-000008000000}" name="II" dataDxfId="224"/>
    <tableColumn id="9" xr3:uid="{00000000-0010-0000-0800-000009000000}" name="Kolumna6" dataDxfId="223">
      <calculatedColumnFormula>SUM(J2:L2)</calculatedColumnFormula>
    </tableColumn>
    <tableColumn id="10" xr3:uid="{00000000-0010-0000-0800-00000A000000}" name="Kolumna7" dataDxfId="222"/>
    <tableColumn id="11" xr3:uid="{00000000-0010-0000-0800-00000B000000}" name="Kolumna8" dataDxfId="221"/>
    <tableColumn id="12" xr3:uid="{00000000-0010-0000-0800-00000C000000}" name="Kolumna9" dataDxfId="220"/>
    <tableColumn id="13" xr3:uid="{00000000-0010-0000-0800-00000D000000}" name="Kolumna10" dataDxfId="219"/>
    <tableColumn id="14" xr3:uid="{00000000-0010-0000-0800-00000E000000}" name="III" dataDxfId="218">
      <calculatedColumnFormula>SUM(O2:R2)</calculatedColumnFormula>
    </tableColumn>
    <tableColumn id="15" xr3:uid="{00000000-0010-0000-0800-00000F000000}" name="Kolumna11" dataDxfId="217">
      <calculatedColumnFormula>SUM(H2+'5.1.3 Przeds. nowopowst.'!P2)-SUM('5.1.3 Przeds. niefinansowe'!P2+Q2+R2)</calculatedColumnFormula>
    </tableColumn>
    <tableColumn id="16" xr3:uid="{00000000-0010-0000-0800-000010000000}" name="Kolumna12" dataDxfId="216">
      <calculatedColumnFormula>K2*'5.1.3 Podmioty REGON'!AR2</calculatedColumnFormula>
    </tableColumn>
    <tableColumn id="17" xr3:uid="{00000000-0010-0000-0800-000011000000}" name="Kolumna13" dataDxfId="215">
      <calculatedColumnFormula>L2*'5.1.3 Podmioty REGON'!AS2</calculatedColumnFormula>
    </tableColumn>
    <tableColumn id="18" xr3:uid="{00000000-0010-0000-0800-000012000000}" name="Kolumna14" dataDxfId="214">
      <calculatedColumnFormula>M2*'5.1.3 Podmioty REGON'!AT2</calculatedColumnFormula>
    </tableColumn>
    <tableColumn id="19" xr3:uid="{00000000-0010-0000-0800-000013000000}" name="Kolumna15" dataDxfId="213">
      <calculatedColumnFormula>SUM(O2:Q2)</calculatedColumnFormula>
    </tableColumn>
    <tableColumn id="20" xr3:uid="{00000000-0010-0000-0800-000014000000}" name="IV" dataDxfId="212" dataCellStyle="Dziesiętny">
      <calculatedColumnFormula>SUM(V2:Y2)</calculatedColumnFormula>
    </tableColumn>
    <tableColumn id="21" xr3:uid="{00000000-0010-0000-0800-000015000000}" name="Kolumna16" dataDxfId="211" dataCellStyle="Dziesiętny">
      <calculatedColumnFormula>SUM(V2:X2)</calculatedColumnFormula>
    </tableColumn>
    <tableColumn id="22" xr3:uid="{00000000-0010-0000-0800-000016000000}" name="Kolumna17" dataDxfId="210" dataCellStyle="Dziesiętny">
      <calculatedColumnFormula>SUM(N2+'5.1.3 Przeds. nowopowst.'!Q2)-SUM('5.1.3 Przeds. niefinansowe'!W2+X2+Y2)</calculatedColumnFormula>
    </tableColumn>
    <tableColumn id="23" xr3:uid="{00000000-0010-0000-0800-000017000000}" name="Kolumna18" dataDxfId="209" dataCellStyle="Dziesiętny">
      <calculatedColumnFormula>P2*'5.1.3 Podmioty REGON'!AW2</calculatedColumnFormula>
    </tableColumn>
    <tableColumn id="24" xr3:uid="{00000000-0010-0000-0800-000018000000}" name="Kolumna19" dataDxfId="208" dataCellStyle="Dziesiętny">
      <calculatedColumnFormula>Q2*'5.1.3 Podmioty REGON'!AX2</calculatedColumnFormula>
    </tableColumn>
    <tableColumn id="25" xr3:uid="{00000000-0010-0000-0800-000019000000}" name="Kolumna20" dataDxfId="207" dataCellStyle="Dziesiętny">
      <calculatedColumnFormula>R2*'5.1.3 Podmioty REGON'!AY2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Liczba przedsiębiorstw niefinansowych" altTextSummary="Tabela przedstawia historyczne dane dla lat 2017-2018 oraz prognozę na lata 2019 i 2020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N1" dT="2021-02-03T14:07:18.20" personId="{26D71B79-3DE1-4C1B-AC7B-6179D0B07196}" id="{D2AA794C-CF58-478A-A8C0-DBA1D096AB03}">
    <text>jest w osobnym pliku link do danych również za 2019 - źródło - ogółem</text>
  </threadedComment>
  <threadedComment ref="AF1" dT="2021-02-03T14:13:16.12" personId="{26D71B79-3DE1-4C1B-AC7B-6179D0B07196}" id="{FC96633C-32D8-4EC5-94B4-B5441A9832CD}">
    <text>przyjęto wszędzie wzrost o 6,6% - można zastąpić realnymi</text>
  </threadedComment>
  <threadedComment ref="AR1" dT="2021-02-03T14:14:31.44" personId="{26D71B79-3DE1-4C1B-AC7B-6179D0B07196}" id="{62ADB207-DD8B-4661-A9D6-2011AEE51B87}">
    <text>tak jak wcześniej - założone 2/3 - nie widzę powodu, żeby to modyfikować, aczkolwiek jakby ktoś się bardzo uparł, to pewnie można przyjąć, że w kryzysie mniej się wydaje na aktywa trwałe, a więcej na obrotowe, więc ten udział powinien wzrosnąć, ale nie sądzę, żeby był dokładny parametr, prawda?</text>
  </threadedComment>
  <threadedComment ref="AR1" dT="2021-02-25T16:47:59.50" personId="{A19BC293-4FB1-4421-816D-C2DBD8CE8AB0}" id="{F9930299-69E6-4157-BAF8-BB367C383F67}" parentId="{62ADB207-DD8B-4661-A9D6-2011AEE51B87}">
    <text>Tutaj chyba tylko część z poniższego zapisu koncepcji badania jest do zrobienia: "Wartość nakładów obrotowych w nakładach ogółem zostanie oszacowana z uwzględnieniem danych GUS (wyniki finansowe przedsiębiorstw gospodarczych w I poł. 2019 r.) oraz danych NBP dot. udziału kredytów obrotowych w kredytach ogółem.
Wartości te zostaną skorygowane o prognozowany spadek PKB, by uwzględnić wpływ pandemii COVID-19 na sytuację gospodarczą oraz rozszacowane (dezagregowane) na poziom wojewódzki"</text>
  </threadedComment>
  <threadedComment ref="AR1" dT="2021-03-01T11:31:10.27" personId="{26D71B79-3DE1-4C1B-AC7B-6179D0B07196}" id="{9D680486-828B-4078-AA26-E7FBE1403F45}" parentId="{62ADB207-DD8B-4661-A9D6-2011AEE51B87}">
    <text>Są skorygowane, ponieważ wcześniejsze nakłady na aktywa trwałe są skorygowane, a zatem te, które są od nich uzależnione korygują się proporcjonalnie. Zgodnie z raportem NBP (https://www.nbp.pl/systemfinansowy/rynek_kredytowy_2021_1.pdf) popyt na wszystkie kredyty spadł proporcjonalnie, a zatem stosunek obrotowych do kredytów ogółem się nie zmienił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Q1" dT="2021-02-03T14:42:47.39" personId="{26D71B79-3DE1-4C1B-AC7B-6179D0B07196}" id="{F269D33C-DDA7-4112-8BAE-A9C17EE5148F}">
    <text>korekta - było 29%, średnia z uwzględnieniem lat 2008-2019 wynosi 29,7%</text>
  </threadedComment>
  <threadedComment ref="T1" dT="2021-02-03T14:49:13.28" personId="{26D71B79-3DE1-4C1B-AC7B-6179D0B07196}" id="{069DCAE2-5457-496B-8A1B-AF558E2F43A5}">
    <text>korekta - było 23%, średnia z uwzględnieniem lat 2008-2019 wynosi 22,6%</text>
  </threadedComment>
  <threadedComment ref="Z2" dT="2021-02-03T14:54:28.75" personId="{26D71B79-3DE1-4C1B-AC7B-6179D0B07196}" id="{C1C0468C-73FD-4BB7-B071-BA92EB8AC434}">
    <text>dane zaktualizowane 2020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Z1" dT="2021-02-03T15:09:07.91" personId="{26D71B79-3DE1-4C1B-AC7B-6179D0B07196}" id="{0D6AFDF4-07BC-4245-998E-AA48021ADF2F}">
    <text>tutaj zmieniłem średnią wartość z lat 2015-2018 na wartość z ankiety z 2020 roku link osobno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F1" dT="2021-02-03T15:15:48.99" personId="{26D71B79-3DE1-4C1B-AC7B-6179D0B07196}" id="{EC8ACE6E-19F5-417C-9848-ACE924511AD0}">
    <text>pozmieniałem odnośniki - tam gdzie się dało odnosiłem się do wartości na 2020, a nie do średnich z lat</text>
  </threadedComment>
  <threadedComment ref="X4" dT="2021-02-03T15:21:06.09" personId="{26D71B79-3DE1-4C1B-AC7B-6179D0B07196}" id="{8DDA458C-B57B-45D3-BA46-F593E11007A8}">
    <text>dane z ostatniego możliwego raportu NBP - https://www.nbp.pl/publikacje/koniunktura/raport_4_kw_2020.pdf</text>
  </threadedComment>
  <threadedComment ref="AH4" dT="2021-02-03T15:20:51.71" personId="{26D71B79-3DE1-4C1B-AC7B-6179D0B07196}" id="{E87EE613-194C-48F1-A3DB-AA83B67016BE}">
    <text>dane z ostatniego możliwego raportu NBP - https://www.nbp.pl/publikacje/koniunktura/raport_4_kw_2020.pdf</text>
  </threadedComment>
  <threadedComment ref="AR4" dT="2021-02-03T15:24:16.54" personId="{26D71B79-3DE1-4C1B-AC7B-6179D0B07196}" id="{8507E8EA-383D-421C-B164-2BC9920D6F92}">
    <text>żadnych nowszych danych nie ma - pewnie wzrośnie w kryzysie, ale ja nic nie mogłem znaleźć</text>
  </threadedComment>
  <threadedComment ref="BA4" dT="2021-02-03T15:24:46.10" personId="{26D71B79-3DE1-4C1B-AC7B-6179D0B07196}" id="{54CD3ADA-2668-4104-AFFA-19ADFF7BF4CA}">
    <text>nic się nie zmieniło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K3" dT="2021-02-03T15:29:35.77" personId="{26D71B79-3DE1-4C1B-AC7B-6179D0B07196}" id="{774F9999-6A92-4E3A-B1F8-AE643998808B}">
    <text>korekta na wszystkie lata dla ostatniej znanej wartości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C1" dT="2021-02-04T12:39:45.90" personId="{26D71B79-3DE1-4C1B-AC7B-6179D0B07196}" id="{F775503B-C21A-4493-8AE4-F960EF18E8D0}">
    <text>zmieniłem na automatyczne obliczanie z poprzednim arkuszem</text>
  </threadedComment>
  <threadedComment ref="D1" dT="2021-02-04T12:41:36.72" personId="{26D71B79-3DE1-4C1B-AC7B-6179D0B07196}" id="{862DF1B2-BD72-4424-A911-BB13BB7E3E67}">
    <text>tak jak obok</text>
  </threadedComment>
  <threadedComment ref="G1" dT="2021-02-04T12:42:03.34" personId="{26D71B79-3DE1-4C1B-AC7B-6179D0B07196}" id="{AAD1B6E9-6A43-4F68-B343-EC34141C5A45}">
    <text>ta sama wartość co w poprzednim arkuszu - nie zmieniam</text>
  </threadedComment>
  <threadedComment ref="M1" dT="2021-02-04T12:42:32.14" personId="{26D71B79-3DE1-4C1B-AC7B-6179D0B07196}" id="{1CAEAF7F-99AB-4A76-9252-2ADE17563404}">
    <text>dodana kolumna dla Wielkopolski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dl.stat.gov.pl/BDL/metadane/podgrupy/554?back=True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3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4.xml"/><Relationship Id="rId4" Type="http://schemas.openxmlformats.org/officeDocument/2006/relationships/comments" Target="../comments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Relationship Id="rId5" Type="http://schemas.microsoft.com/office/2017/10/relationships/threadedComment" Target="../threadedComments/threadedComment5.xml"/><Relationship Id="rId4" Type="http://schemas.openxmlformats.org/officeDocument/2006/relationships/comments" Target="../comments5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Relationship Id="rId5" Type="http://schemas.microsoft.com/office/2017/10/relationships/threadedComment" Target="../threadedComments/threadedComment6.xml"/><Relationship Id="rId4" Type="http://schemas.openxmlformats.org/officeDocument/2006/relationships/comments" Target="../comments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3.xml"/><Relationship Id="rId1" Type="http://schemas.openxmlformats.org/officeDocument/2006/relationships/vmlDrawing" Target="../drawings/vmlDrawing1.vml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</sheetPr>
  <dimension ref="A1:N29"/>
  <sheetViews>
    <sheetView zoomScale="70" zoomScaleNormal="70" workbookViewId="0">
      <selection activeCell="E6" sqref="E6"/>
    </sheetView>
  </sheetViews>
  <sheetFormatPr defaultColWidth="9.109375" defaultRowHeight="14.4" x14ac:dyDescent="0.3"/>
  <cols>
    <col min="1" max="1" width="27.5546875" style="14" customWidth="1"/>
    <col min="2" max="2" width="11.109375" style="14" customWidth="1"/>
    <col min="3" max="3" width="12.109375" style="14" customWidth="1"/>
    <col min="4" max="4" width="13.5546875" style="14" customWidth="1"/>
    <col min="5" max="5" width="11.88671875" style="14" customWidth="1"/>
    <col min="6" max="6" width="15.109375" style="14" customWidth="1"/>
    <col min="7" max="13" width="13" style="14" customWidth="1"/>
    <col min="14" max="14" width="14" style="14" customWidth="1"/>
    <col min="15" max="16384" width="9.109375" style="14"/>
  </cols>
  <sheetData>
    <row r="1" spans="1:14" ht="27.6" thickBot="1" x14ac:dyDescent="0.35">
      <c r="A1" s="225" t="s">
        <v>92</v>
      </c>
      <c r="B1" s="225" t="s">
        <v>93</v>
      </c>
      <c r="C1" s="226" t="s">
        <v>397</v>
      </c>
      <c r="D1" s="227" t="s">
        <v>393</v>
      </c>
      <c r="E1" s="264" t="s">
        <v>409</v>
      </c>
      <c r="F1" s="264" t="s">
        <v>411</v>
      </c>
      <c r="G1" s="264" t="s">
        <v>410</v>
      </c>
      <c r="H1" s="264" t="s">
        <v>412</v>
      </c>
      <c r="I1" s="264" t="s">
        <v>413</v>
      </c>
      <c r="J1" s="264" t="s">
        <v>414</v>
      </c>
      <c r="K1" s="264" t="s">
        <v>415</v>
      </c>
      <c r="L1" s="264" t="s">
        <v>416</v>
      </c>
      <c r="M1" s="264" t="s">
        <v>417</v>
      </c>
      <c r="N1" s="264" t="s">
        <v>418</v>
      </c>
    </row>
    <row r="2" spans="1:14" ht="15" thickTop="1" x14ac:dyDescent="0.3">
      <c r="A2" s="115"/>
      <c r="B2" s="116" t="s">
        <v>94</v>
      </c>
      <c r="C2" s="117">
        <v>2019</v>
      </c>
      <c r="D2" s="117">
        <v>2020</v>
      </c>
      <c r="E2" s="265">
        <v>2021</v>
      </c>
      <c r="F2" s="265">
        <v>2022</v>
      </c>
      <c r="G2" s="265">
        <v>2023</v>
      </c>
      <c r="H2" s="265">
        <v>2024</v>
      </c>
      <c r="I2" s="265">
        <v>2025</v>
      </c>
      <c r="J2" s="265">
        <v>2026</v>
      </c>
      <c r="K2" s="265">
        <v>2027</v>
      </c>
      <c r="L2" s="265">
        <v>2028</v>
      </c>
      <c r="M2" s="265">
        <v>2029</v>
      </c>
      <c r="N2" s="266">
        <v>2030</v>
      </c>
    </row>
    <row r="3" spans="1:14" x14ac:dyDescent="0.3">
      <c r="A3" s="115"/>
      <c r="B3" s="116" t="s">
        <v>83</v>
      </c>
      <c r="C3" s="117" t="s">
        <v>83</v>
      </c>
      <c r="D3" s="117" t="s">
        <v>83</v>
      </c>
      <c r="E3" s="265" t="s">
        <v>83</v>
      </c>
      <c r="F3" s="265" t="s">
        <v>83</v>
      </c>
      <c r="G3" s="265" t="s">
        <v>83</v>
      </c>
      <c r="H3" s="265" t="s">
        <v>83</v>
      </c>
      <c r="I3" s="265" t="s">
        <v>83</v>
      </c>
      <c r="J3" s="265" t="s">
        <v>83</v>
      </c>
      <c r="K3" s="265" t="s">
        <v>83</v>
      </c>
      <c r="L3" s="265" t="s">
        <v>83</v>
      </c>
      <c r="M3" s="265" t="s">
        <v>83</v>
      </c>
      <c r="N3" s="266" t="s">
        <v>83</v>
      </c>
    </row>
    <row r="4" spans="1:14" x14ac:dyDescent="0.3">
      <c r="A4" s="119" t="s">
        <v>1</v>
      </c>
      <c r="B4" s="120">
        <v>2115242</v>
      </c>
      <c r="C4" s="120">
        <v>2287738</v>
      </c>
      <c r="D4" s="120">
        <f>C4*97.2%</f>
        <v>2223681.3360000001</v>
      </c>
      <c r="E4" s="267">
        <f>D4*103.3%</f>
        <v>2297062.820088</v>
      </c>
      <c r="F4" s="267">
        <f>E4*103.5%</f>
        <v>2377460.01879108</v>
      </c>
      <c r="G4" s="267">
        <f t="shared" ref="G4:N4" si="0">F4*103.5%</f>
        <v>2460671.1194487675</v>
      </c>
      <c r="H4" s="267">
        <f t="shared" si="0"/>
        <v>2546794.608629474</v>
      </c>
      <c r="I4" s="267">
        <f t="shared" si="0"/>
        <v>2635932.4199315053</v>
      </c>
      <c r="J4" s="267">
        <f t="shared" si="0"/>
        <v>2728190.0546291079</v>
      </c>
      <c r="K4" s="267">
        <f t="shared" si="0"/>
        <v>2823676.7065411266</v>
      </c>
      <c r="L4" s="267">
        <f t="shared" si="0"/>
        <v>2922505.3912700657</v>
      </c>
      <c r="M4" s="267">
        <f t="shared" si="0"/>
        <v>3024793.0799645176</v>
      </c>
      <c r="N4" s="267">
        <f t="shared" si="0"/>
        <v>3130660.8377632755</v>
      </c>
    </row>
    <row r="5" spans="1:14" x14ac:dyDescent="0.3">
      <c r="A5" s="119" t="s">
        <v>2</v>
      </c>
      <c r="B5" s="120">
        <v>175356</v>
      </c>
      <c r="C5" s="120">
        <v>189195</v>
      </c>
      <c r="D5" s="120">
        <f t="shared" ref="D5:D20" si="1">C5*97.2%</f>
        <v>183897.54</v>
      </c>
      <c r="E5" s="267">
        <f t="shared" ref="E5:E20" si="2">D5*103.3%</f>
        <v>189966.15881999998</v>
      </c>
      <c r="F5" s="267">
        <f t="shared" ref="F5:N20" si="3">E5*103.5%</f>
        <v>196614.97437869996</v>
      </c>
      <c r="G5" s="267">
        <f t="shared" si="3"/>
        <v>203496.49848195445</v>
      </c>
      <c r="H5" s="267">
        <f t="shared" si="3"/>
        <v>210618.87592882285</v>
      </c>
      <c r="I5" s="267">
        <f t="shared" si="3"/>
        <v>217990.53658633164</v>
      </c>
      <c r="J5" s="267">
        <f t="shared" si="3"/>
        <v>225620.20536685322</v>
      </c>
      <c r="K5" s="267">
        <f t="shared" si="3"/>
        <v>233516.91255469306</v>
      </c>
      <c r="L5" s="267">
        <f t="shared" si="3"/>
        <v>241690.0044941073</v>
      </c>
      <c r="M5" s="267">
        <f t="shared" si="3"/>
        <v>250149.15465140104</v>
      </c>
      <c r="N5" s="267">
        <f t="shared" si="3"/>
        <v>258904.37506420005</v>
      </c>
    </row>
    <row r="6" spans="1:14" x14ac:dyDescent="0.3">
      <c r="A6" s="119" t="s">
        <v>3</v>
      </c>
      <c r="B6" s="120">
        <v>92960</v>
      </c>
      <c r="C6" s="120">
        <v>98451</v>
      </c>
      <c r="D6" s="120">
        <f t="shared" si="1"/>
        <v>95694.372000000003</v>
      </c>
      <c r="E6" s="267">
        <f t="shared" si="2"/>
        <v>98852.286275999999</v>
      </c>
      <c r="F6" s="267">
        <f t="shared" si="3"/>
        <v>102312.11629565999</v>
      </c>
      <c r="G6" s="267">
        <f t="shared" si="3"/>
        <v>105893.04036600808</v>
      </c>
      <c r="H6" s="267">
        <f t="shared" si="3"/>
        <v>109599.29677881835</v>
      </c>
      <c r="I6" s="267">
        <f t="shared" si="3"/>
        <v>113435.27216607697</v>
      </c>
      <c r="J6" s="267">
        <f t="shared" si="3"/>
        <v>117405.50669188966</v>
      </c>
      <c r="K6" s="267">
        <f t="shared" si="3"/>
        <v>121514.69942610578</v>
      </c>
      <c r="L6" s="267">
        <f t="shared" si="3"/>
        <v>125767.71390601947</v>
      </c>
      <c r="M6" s="267">
        <f t="shared" si="3"/>
        <v>130169.58389273015</v>
      </c>
      <c r="N6" s="267">
        <f t="shared" si="3"/>
        <v>134725.5193289757</v>
      </c>
    </row>
    <row r="7" spans="1:14" x14ac:dyDescent="0.3">
      <c r="A7" s="119" t="s">
        <v>4</v>
      </c>
      <c r="B7" s="120">
        <v>78711</v>
      </c>
      <c r="C7" s="120">
        <v>86053</v>
      </c>
      <c r="D7" s="120">
        <f t="shared" si="1"/>
        <v>83643.516000000003</v>
      </c>
      <c r="E7" s="267">
        <f t="shared" si="2"/>
        <v>86403.752028000003</v>
      </c>
      <c r="F7" s="267">
        <f t="shared" si="3"/>
        <v>89427.883348980002</v>
      </c>
      <c r="G7" s="267">
        <f t="shared" si="3"/>
        <v>92557.859266194297</v>
      </c>
      <c r="H7" s="267">
        <f t="shared" si="3"/>
        <v>95797.384340511097</v>
      </c>
      <c r="I7" s="267">
        <f t="shared" si="3"/>
        <v>99150.292792428983</v>
      </c>
      <c r="J7" s="267">
        <f t="shared" si="3"/>
        <v>102620.55304016398</v>
      </c>
      <c r="K7" s="267">
        <f t="shared" si="3"/>
        <v>106212.27239656972</v>
      </c>
      <c r="L7" s="267">
        <f t="shared" si="3"/>
        <v>109929.70193044965</v>
      </c>
      <c r="M7" s="267">
        <f t="shared" si="3"/>
        <v>113777.24149801538</v>
      </c>
      <c r="N7" s="267">
        <f t="shared" si="3"/>
        <v>117759.44495044592</v>
      </c>
    </row>
    <row r="8" spans="1:14" x14ac:dyDescent="0.3">
      <c r="A8" s="119" t="s">
        <v>5</v>
      </c>
      <c r="B8" s="120">
        <v>46016</v>
      </c>
      <c r="C8" s="120">
        <v>49071</v>
      </c>
      <c r="D8" s="120">
        <f t="shared" si="1"/>
        <v>47697.011999999995</v>
      </c>
      <c r="E8" s="267">
        <f t="shared" si="2"/>
        <v>49271.013395999988</v>
      </c>
      <c r="F8" s="267">
        <f t="shared" si="3"/>
        <v>50995.498864859983</v>
      </c>
      <c r="G8" s="267">
        <f t="shared" si="3"/>
        <v>52780.341325130081</v>
      </c>
      <c r="H8" s="267">
        <f t="shared" si="3"/>
        <v>54627.653271509633</v>
      </c>
      <c r="I8" s="267">
        <f t="shared" si="3"/>
        <v>56539.621136012465</v>
      </c>
      <c r="J8" s="267">
        <f t="shared" si="3"/>
        <v>58518.507875772899</v>
      </c>
      <c r="K8" s="267">
        <f t="shared" si="3"/>
        <v>60566.655651424946</v>
      </c>
      <c r="L8" s="267">
        <f t="shared" si="3"/>
        <v>62686.488599224816</v>
      </c>
      <c r="M8" s="267">
        <f t="shared" si="3"/>
        <v>64880.515700197677</v>
      </c>
      <c r="N8" s="267">
        <f t="shared" si="3"/>
        <v>67151.333749704587</v>
      </c>
    </row>
    <row r="9" spans="1:14" x14ac:dyDescent="0.3">
      <c r="A9" s="119" t="s">
        <v>6</v>
      </c>
      <c r="B9" s="120">
        <v>126411</v>
      </c>
      <c r="C9" s="120">
        <v>138085</v>
      </c>
      <c r="D9" s="120">
        <f t="shared" si="1"/>
        <v>134218.62</v>
      </c>
      <c r="E9" s="267">
        <f t="shared" si="2"/>
        <v>138647.83445999998</v>
      </c>
      <c r="F9" s="267">
        <f t="shared" si="3"/>
        <v>143500.50866609998</v>
      </c>
      <c r="G9" s="267">
        <f t="shared" si="3"/>
        <v>148523.02646941348</v>
      </c>
      <c r="H9" s="267">
        <f t="shared" si="3"/>
        <v>153721.33239584294</v>
      </c>
      <c r="I9" s="267">
        <f t="shared" si="3"/>
        <v>159101.57902969743</v>
      </c>
      <c r="J9" s="267">
        <f t="shared" si="3"/>
        <v>164670.13429573682</v>
      </c>
      <c r="K9" s="267">
        <f t="shared" si="3"/>
        <v>170433.58899608758</v>
      </c>
      <c r="L9" s="267">
        <f t="shared" si="3"/>
        <v>176398.76461095063</v>
      </c>
      <c r="M9" s="267">
        <f t="shared" si="3"/>
        <v>182572.72137233388</v>
      </c>
      <c r="N9" s="267">
        <f t="shared" si="3"/>
        <v>188962.76662036555</v>
      </c>
    </row>
    <row r="10" spans="1:14" x14ac:dyDescent="0.3">
      <c r="A10" s="119" t="s">
        <v>7</v>
      </c>
      <c r="B10" s="120">
        <v>172279</v>
      </c>
      <c r="C10" s="120">
        <v>185720</v>
      </c>
      <c r="D10" s="120">
        <f t="shared" si="1"/>
        <v>180519.84</v>
      </c>
      <c r="E10" s="267">
        <f t="shared" si="2"/>
        <v>186476.99471999999</v>
      </c>
      <c r="F10" s="267">
        <f t="shared" si="3"/>
        <v>193003.68953519998</v>
      </c>
      <c r="G10" s="267">
        <f t="shared" si="3"/>
        <v>199758.81866893196</v>
      </c>
      <c r="H10" s="267">
        <f t="shared" si="3"/>
        <v>206750.37732234455</v>
      </c>
      <c r="I10" s="267">
        <f t="shared" si="3"/>
        <v>213986.64052862659</v>
      </c>
      <c r="J10" s="267">
        <f t="shared" si="3"/>
        <v>221476.17294712851</v>
      </c>
      <c r="K10" s="267">
        <f t="shared" si="3"/>
        <v>229227.83900027798</v>
      </c>
      <c r="L10" s="267">
        <f t="shared" si="3"/>
        <v>237250.8133652877</v>
      </c>
      <c r="M10" s="267">
        <f t="shared" si="3"/>
        <v>245554.59183307274</v>
      </c>
      <c r="N10" s="267">
        <f t="shared" si="3"/>
        <v>254149.00254723028</v>
      </c>
    </row>
    <row r="11" spans="1:14" x14ac:dyDescent="0.3">
      <c r="A11" s="119" t="s">
        <v>8</v>
      </c>
      <c r="B11" s="120">
        <v>478129</v>
      </c>
      <c r="C11" s="120">
        <v>522630</v>
      </c>
      <c r="D11" s="120">
        <f t="shared" si="1"/>
        <v>507996.36</v>
      </c>
      <c r="E11" s="267">
        <f t="shared" si="2"/>
        <v>524760.23987999989</v>
      </c>
      <c r="F11" s="267">
        <f t="shared" si="3"/>
        <v>543126.84827579989</v>
      </c>
      <c r="G11" s="267">
        <f t="shared" si="3"/>
        <v>562136.28796545288</v>
      </c>
      <c r="H11" s="267">
        <f t="shared" si="3"/>
        <v>581811.05804424372</v>
      </c>
      <c r="I11" s="267">
        <f t="shared" si="3"/>
        <v>602174.44507579226</v>
      </c>
      <c r="J11" s="267">
        <f t="shared" si="3"/>
        <v>623250.55065344495</v>
      </c>
      <c r="K11" s="267">
        <f t="shared" si="3"/>
        <v>645064.31992631545</v>
      </c>
      <c r="L11" s="267">
        <f t="shared" si="3"/>
        <v>667641.57112373644</v>
      </c>
      <c r="M11" s="267">
        <f t="shared" si="3"/>
        <v>691009.02611306717</v>
      </c>
      <c r="N11" s="267">
        <f t="shared" si="3"/>
        <v>715194.34202702448</v>
      </c>
    </row>
    <row r="12" spans="1:14" x14ac:dyDescent="0.3">
      <c r="A12" s="119" t="s">
        <v>9</v>
      </c>
      <c r="B12" s="120">
        <v>43188</v>
      </c>
      <c r="C12" s="120">
        <v>46300</v>
      </c>
      <c r="D12" s="120">
        <f t="shared" si="1"/>
        <v>45003.6</v>
      </c>
      <c r="E12" s="267">
        <f t="shared" si="2"/>
        <v>46488.718799999995</v>
      </c>
      <c r="F12" s="267">
        <f t="shared" si="3"/>
        <v>48115.823957999994</v>
      </c>
      <c r="G12" s="267">
        <f t="shared" si="3"/>
        <v>49799.877796529989</v>
      </c>
      <c r="H12" s="267">
        <f t="shared" si="3"/>
        <v>51542.873519408531</v>
      </c>
      <c r="I12" s="267">
        <f t="shared" si="3"/>
        <v>53346.874092587823</v>
      </c>
      <c r="J12" s="267">
        <f t="shared" si="3"/>
        <v>55214.014685828392</v>
      </c>
      <c r="K12" s="267">
        <f t="shared" si="3"/>
        <v>57146.505199832383</v>
      </c>
      <c r="L12" s="267">
        <f t="shared" si="3"/>
        <v>59146.63288182651</v>
      </c>
      <c r="M12" s="267">
        <f t="shared" si="3"/>
        <v>61216.765032690433</v>
      </c>
      <c r="N12" s="267">
        <f t="shared" si="3"/>
        <v>63359.351808834595</v>
      </c>
    </row>
    <row r="13" spans="1:14" x14ac:dyDescent="0.3">
      <c r="A13" s="119" t="s">
        <v>10</v>
      </c>
      <c r="B13" s="120">
        <v>82749</v>
      </c>
      <c r="C13" s="120">
        <v>89023</v>
      </c>
      <c r="D13" s="120">
        <f t="shared" si="1"/>
        <v>86530.356</v>
      </c>
      <c r="E13" s="267">
        <f t="shared" si="2"/>
        <v>89385.857747999995</v>
      </c>
      <c r="F13" s="267">
        <f t="shared" si="3"/>
        <v>92514.362769179992</v>
      </c>
      <c r="G13" s="267">
        <f t="shared" si="3"/>
        <v>95752.365466101284</v>
      </c>
      <c r="H13" s="267">
        <f t="shared" si="3"/>
        <v>99103.698257414828</v>
      </c>
      <c r="I13" s="267">
        <f t="shared" si="3"/>
        <v>102572.32769642434</v>
      </c>
      <c r="J13" s="267">
        <f t="shared" si="3"/>
        <v>106162.35916579918</v>
      </c>
      <c r="K13" s="267">
        <f t="shared" si="3"/>
        <v>109878.04173660214</v>
      </c>
      <c r="L13" s="267">
        <f t="shared" si="3"/>
        <v>113723.77319738321</v>
      </c>
      <c r="M13" s="267">
        <f t="shared" si="3"/>
        <v>117704.10525929161</v>
      </c>
      <c r="N13" s="267">
        <f t="shared" si="3"/>
        <v>121823.74894336681</v>
      </c>
    </row>
    <row r="14" spans="1:14" x14ac:dyDescent="0.3">
      <c r="A14" s="119" t="s">
        <v>11</v>
      </c>
      <c r="B14" s="120">
        <v>46314</v>
      </c>
      <c r="C14" s="120">
        <v>50687</v>
      </c>
      <c r="D14" s="120">
        <f t="shared" si="1"/>
        <v>49267.763999999996</v>
      </c>
      <c r="E14" s="267">
        <f t="shared" si="2"/>
        <v>50893.60021199999</v>
      </c>
      <c r="F14" s="267">
        <f t="shared" si="3"/>
        <v>52674.876219419988</v>
      </c>
      <c r="G14" s="267">
        <f t="shared" si="3"/>
        <v>54518.496887099682</v>
      </c>
      <c r="H14" s="267">
        <f t="shared" si="3"/>
        <v>56426.644278148167</v>
      </c>
      <c r="I14" s="267">
        <f t="shared" si="3"/>
        <v>58401.576827883349</v>
      </c>
      <c r="J14" s="267">
        <f t="shared" si="3"/>
        <v>60445.632016859265</v>
      </c>
      <c r="K14" s="267">
        <f t="shared" si="3"/>
        <v>62561.229137449336</v>
      </c>
      <c r="L14" s="267">
        <f t="shared" si="3"/>
        <v>64750.872157260055</v>
      </c>
      <c r="M14" s="267">
        <f t="shared" si="3"/>
        <v>67017.15268276415</v>
      </c>
      <c r="N14" s="267">
        <f t="shared" si="3"/>
        <v>69362.753026660896</v>
      </c>
    </row>
    <row r="15" spans="1:14" x14ac:dyDescent="0.3">
      <c r="A15" s="119" t="s">
        <v>12</v>
      </c>
      <c r="B15" s="120">
        <v>124553</v>
      </c>
      <c r="C15" s="120">
        <v>135663</v>
      </c>
      <c r="D15" s="120">
        <f t="shared" si="1"/>
        <v>131864.43599999999</v>
      </c>
      <c r="E15" s="267">
        <f t="shared" si="2"/>
        <v>136215.96238799999</v>
      </c>
      <c r="F15" s="267">
        <f t="shared" si="3"/>
        <v>140983.52107157998</v>
      </c>
      <c r="G15" s="267">
        <f t="shared" si="3"/>
        <v>145917.94430908526</v>
      </c>
      <c r="H15" s="267">
        <f t="shared" si="3"/>
        <v>151025.07235990322</v>
      </c>
      <c r="I15" s="267">
        <f t="shared" si="3"/>
        <v>156310.94989249983</v>
      </c>
      <c r="J15" s="267">
        <f t="shared" si="3"/>
        <v>161781.8331387373</v>
      </c>
      <c r="K15" s="267">
        <f t="shared" si="3"/>
        <v>167444.19729859309</v>
      </c>
      <c r="L15" s="267">
        <f t="shared" si="3"/>
        <v>173304.74420404385</v>
      </c>
      <c r="M15" s="267">
        <f t="shared" si="3"/>
        <v>179370.41025118536</v>
      </c>
      <c r="N15" s="267">
        <f t="shared" si="3"/>
        <v>185648.37460997683</v>
      </c>
    </row>
    <row r="16" spans="1:14" x14ac:dyDescent="0.3">
      <c r="A16" s="119" t="s">
        <v>13</v>
      </c>
      <c r="B16" s="120">
        <v>259946</v>
      </c>
      <c r="C16" s="120">
        <v>275804</v>
      </c>
      <c r="D16" s="120">
        <f t="shared" si="1"/>
        <v>268081.48800000001</v>
      </c>
      <c r="E16" s="267">
        <f t="shared" si="2"/>
        <v>276928.177104</v>
      </c>
      <c r="F16" s="267">
        <f t="shared" si="3"/>
        <v>286620.66330263996</v>
      </c>
      <c r="G16" s="267">
        <f t="shared" si="3"/>
        <v>296652.38651823235</v>
      </c>
      <c r="H16" s="267">
        <f t="shared" si="3"/>
        <v>307035.22004637046</v>
      </c>
      <c r="I16" s="267">
        <f t="shared" si="3"/>
        <v>317781.4527479934</v>
      </c>
      <c r="J16" s="267">
        <f t="shared" si="3"/>
        <v>328903.80359417317</v>
      </c>
      <c r="K16" s="267">
        <f t="shared" si="3"/>
        <v>340415.43671996921</v>
      </c>
      <c r="L16" s="267">
        <f t="shared" si="3"/>
        <v>352329.9770051681</v>
      </c>
      <c r="M16" s="267">
        <f t="shared" si="3"/>
        <v>364661.52620034898</v>
      </c>
      <c r="N16" s="267">
        <f t="shared" si="3"/>
        <v>377424.67961736117</v>
      </c>
    </row>
    <row r="17" spans="1:14" x14ac:dyDescent="0.3">
      <c r="A17" s="119" t="s">
        <v>14</v>
      </c>
      <c r="B17" s="120">
        <v>49454</v>
      </c>
      <c r="C17" s="120">
        <v>52794</v>
      </c>
      <c r="D17" s="120">
        <f t="shared" si="1"/>
        <v>51315.767999999996</v>
      </c>
      <c r="E17" s="267">
        <f t="shared" si="2"/>
        <v>53009.188343999995</v>
      </c>
      <c r="F17" s="267">
        <f t="shared" si="3"/>
        <v>54864.509936039991</v>
      </c>
      <c r="G17" s="267">
        <f t="shared" si="3"/>
        <v>56784.767783801384</v>
      </c>
      <c r="H17" s="267">
        <f t="shared" si="3"/>
        <v>58772.234656234425</v>
      </c>
      <c r="I17" s="267">
        <f t="shared" si="3"/>
        <v>60829.262869202626</v>
      </c>
      <c r="J17" s="267">
        <f t="shared" si="3"/>
        <v>62958.287069624712</v>
      </c>
      <c r="K17" s="267">
        <f t="shared" si="3"/>
        <v>65161.82711706157</v>
      </c>
      <c r="L17" s="267">
        <f t="shared" si="3"/>
        <v>67442.49106615872</v>
      </c>
      <c r="M17" s="267">
        <f t="shared" si="3"/>
        <v>69802.97825347427</v>
      </c>
      <c r="N17" s="267">
        <f t="shared" si="3"/>
        <v>72246.082492345857</v>
      </c>
    </row>
    <row r="18" spans="1:14" x14ac:dyDescent="0.3">
      <c r="A18" s="119" t="s">
        <v>15</v>
      </c>
      <c r="B18" s="120">
        <v>54164</v>
      </c>
      <c r="C18" s="120">
        <v>58223</v>
      </c>
      <c r="D18" s="120">
        <f t="shared" si="1"/>
        <v>56592.756000000001</v>
      </c>
      <c r="E18" s="267">
        <f t="shared" si="2"/>
        <v>58460.316948</v>
      </c>
      <c r="F18" s="267">
        <f t="shared" si="3"/>
        <v>60506.428041179992</v>
      </c>
      <c r="G18" s="267">
        <f t="shared" si="3"/>
        <v>62624.153022621285</v>
      </c>
      <c r="H18" s="267">
        <f t="shared" si="3"/>
        <v>64815.998378413024</v>
      </c>
      <c r="I18" s="267">
        <f t="shared" si="3"/>
        <v>67084.558321657474</v>
      </c>
      <c r="J18" s="267">
        <f t="shared" si="3"/>
        <v>69432.517862915483</v>
      </c>
      <c r="K18" s="267">
        <f t="shared" si="3"/>
        <v>71862.65598811752</v>
      </c>
      <c r="L18" s="267">
        <f t="shared" si="3"/>
        <v>74377.848947701626</v>
      </c>
      <c r="M18" s="267">
        <f t="shared" si="3"/>
        <v>76981.073660871174</v>
      </c>
      <c r="N18" s="267">
        <f t="shared" si="3"/>
        <v>79675.411239001653</v>
      </c>
    </row>
    <row r="19" spans="1:14" x14ac:dyDescent="0.3">
      <c r="A19" s="119" t="s">
        <v>16</v>
      </c>
      <c r="B19" s="120">
        <v>207183</v>
      </c>
      <c r="C19" s="120">
        <v>225951</v>
      </c>
      <c r="D19" s="120">
        <f t="shared" si="1"/>
        <v>219624.372</v>
      </c>
      <c r="E19" s="267">
        <f t="shared" si="2"/>
        <v>226871.97627599997</v>
      </c>
      <c r="F19" s="267">
        <f t="shared" si="3"/>
        <v>234812.49544565997</v>
      </c>
      <c r="G19" s="267">
        <f t="shared" si="3"/>
        <v>243030.93278625805</v>
      </c>
      <c r="H19" s="267">
        <f t="shared" si="3"/>
        <v>251537.01543377707</v>
      </c>
      <c r="I19" s="267">
        <f t="shared" si="3"/>
        <v>260340.81097395925</v>
      </c>
      <c r="J19" s="267">
        <f t="shared" si="3"/>
        <v>269452.73935804778</v>
      </c>
      <c r="K19" s="267">
        <f t="shared" si="3"/>
        <v>278883.5852355794</v>
      </c>
      <c r="L19" s="267">
        <f t="shared" si="3"/>
        <v>288644.51071882463</v>
      </c>
      <c r="M19" s="267">
        <f t="shared" si="3"/>
        <v>298747.06859398348</v>
      </c>
      <c r="N19" s="267">
        <f t="shared" si="3"/>
        <v>309203.21599477285</v>
      </c>
    </row>
    <row r="20" spans="1:14" x14ac:dyDescent="0.3">
      <c r="A20" s="122" t="s">
        <v>17</v>
      </c>
      <c r="B20" s="123">
        <v>77828</v>
      </c>
      <c r="C20" s="123">
        <v>84088</v>
      </c>
      <c r="D20" s="120">
        <f t="shared" si="1"/>
        <v>81733.535999999993</v>
      </c>
      <c r="E20" s="267">
        <f t="shared" si="2"/>
        <v>84430.742687999984</v>
      </c>
      <c r="F20" s="267">
        <f t="shared" si="3"/>
        <v>87385.818682079975</v>
      </c>
      <c r="G20" s="267">
        <f t="shared" si="3"/>
        <v>90444.322335952762</v>
      </c>
      <c r="H20" s="267">
        <f t="shared" si="3"/>
        <v>93609.873617711099</v>
      </c>
      <c r="I20" s="267">
        <f t="shared" si="3"/>
        <v>96886.219194330974</v>
      </c>
      <c r="J20" s="267">
        <f t="shared" si="3"/>
        <v>100277.23686613255</v>
      </c>
      <c r="K20" s="267">
        <f t="shared" si="3"/>
        <v>103786.94015644718</v>
      </c>
      <c r="L20" s="267">
        <f t="shared" si="3"/>
        <v>107419.48306192282</v>
      </c>
      <c r="M20" s="267">
        <f t="shared" si="3"/>
        <v>111179.16496909011</v>
      </c>
      <c r="N20" s="267">
        <f t="shared" si="3"/>
        <v>115070.43574300826</v>
      </c>
    </row>
    <row r="22" spans="1:14" x14ac:dyDescent="0.3">
      <c r="A22" s="27" t="s">
        <v>394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6"/>
    </row>
    <row r="23" spans="1:14" x14ac:dyDescent="0.3">
      <c r="A23" s="29" t="s">
        <v>249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6"/>
    </row>
    <row r="25" spans="1:14" x14ac:dyDescent="0.3">
      <c r="A25" s="27" t="s">
        <v>395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6"/>
    </row>
    <row r="26" spans="1:14" x14ac:dyDescent="0.3">
      <c r="A26" s="29" t="s">
        <v>396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6"/>
    </row>
    <row r="28" spans="1:14" x14ac:dyDescent="0.3">
      <c r="A28" s="27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6"/>
    </row>
    <row r="29" spans="1:14" x14ac:dyDescent="0.3">
      <c r="A29" s="29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6"/>
    </row>
  </sheetData>
  <hyperlinks>
    <hyperlink ref="A23" r:id="rId1" tooltip="Przejdź do strony GUS" xr:uid="{00000000-0004-0000-0000-000000000000}"/>
  </hyperlinks>
  <pageMargins left="0.7" right="0.7" top="0.75" bottom="0.75" header="0.3" footer="0.3"/>
  <pageSetup orientation="portrait"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</sheetPr>
  <dimension ref="A1:AE10"/>
  <sheetViews>
    <sheetView topLeftCell="S1" zoomScale="90" zoomScaleNormal="90" workbookViewId="0">
      <selection activeCell="AB4" sqref="AB4"/>
    </sheetView>
  </sheetViews>
  <sheetFormatPr defaultRowHeight="14.4" x14ac:dyDescent="0.3"/>
  <cols>
    <col min="1" max="1" width="34.109375" customWidth="1"/>
    <col min="2" max="2" width="38.109375" customWidth="1"/>
    <col min="3" max="3" width="12.6640625" customWidth="1"/>
    <col min="4" max="7" width="11.88671875" customWidth="1"/>
    <col min="8" max="8" width="34.109375" customWidth="1"/>
    <col min="9" max="9" width="13.5546875" customWidth="1"/>
    <col min="10" max="11" width="11.88671875" customWidth="1"/>
    <col min="12" max="13" width="13" customWidth="1"/>
    <col min="14" max="14" width="36.5546875" customWidth="1"/>
    <col min="15" max="19" width="13" customWidth="1"/>
    <col min="20" max="20" width="44.33203125" customWidth="1"/>
    <col min="21" max="21" width="13.5546875" customWidth="1"/>
    <col min="22" max="25" width="13" customWidth="1"/>
    <col min="26" max="26" width="38.6640625" customWidth="1"/>
    <col min="27" max="31" width="13" customWidth="1"/>
  </cols>
  <sheetData>
    <row r="1" spans="1:31" ht="47.25" customHeight="1" x14ac:dyDescent="0.3">
      <c r="A1" s="88" t="s">
        <v>54</v>
      </c>
      <c r="B1" s="89" t="s">
        <v>61</v>
      </c>
      <c r="C1" s="90" t="s">
        <v>252</v>
      </c>
      <c r="D1" s="90" t="s">
        <v>253</v>
      </c>
      <c r="E1" s="90" t="s">
        <v>254</v>
      </c>
      <c r="F1" s="90" t="s">
        <v>255</v>
      </c>
      <c r="G1" s="91" t="s">
        <v>256</v>
      </c>
      <c r="H1" s="89" t="s">
        <v>315</v>
      </c>
      <c r="I1" s="90" t="s">
        <v>258</v>
      </c>
      <c r="J1" s="90" t="s">
        <v>259</v>
      </c>
      <c r="K1" s="90" t="s">
        <v>260</v>
      </c>
      <c r="L1" s="90" t="s">
        <v>261</v>
      </c>
      <c r="M1" s="91" t="s">
        <v>262</v>
      </c>
      <c r="N1" s="89" t="s">
        <v>316</v>
      </c>
      <c r="O1" s="90" t="s">
        <v>264</v>
      </c>
      <c r="P1" s="90" t="s">
        <v>265</v>
      </c>
      <c r="Q1" s="90" t="s">
        <v>266</v>
      </c>
      <c r="R1" s="90" t="s">
        <v>267</v>
      </c>
      <c r="S1" s="91" t="s">
        <v>268</v>
      </c>
      <c r="T1" s="89" t="s">
        <v>317</v>
      </c>
      <c r="U1" s="90" t="s">
        <v>270</v>
      </c>
      <c r="V1" s="90" t="s">
        <v>271</v>
      </c>
      <c r="W1" s="90" t="s">
        <v>304</v>
      </c>
      <c r="X1" s="90" t="s">
        <v>305</v>
      </c>
      <c r="Y1" s="91" t="s">
        <v>306</v>
      </c>
      <c r="Z1" s="281" t="s">
        <v>407</v>
      </c>
      <c r="AA1" s="90" t="s">
        <v>307</v>
      </c>
      <c r="AB1" s="90" t="s">
        <v>308</v>
      </c>
      <c r="AC1" s="90" t="s">
        <v>309</v>
      </c>
      <c r="AD1" s="90" t="s">
        <v>310</v>
      </c>
      <c r="AE1" s="91" t="s">
        <v>311</v>
      </c>
    </row>
    <row r="2" spans="1:31" ht="15" customHeight="1" x14ac:dyDescent="0.3">
      <c r="A2" s="88"/>
      <c r="B2" s="92" t="s">
        <v>19</v>
      </c>
      <c r="C2" s="93" t="s">
        <v>59</v>
      </c>
      <c r="D2" s="94" t="s">
        <v>20</v>
      </c>
      <c r="E2" s="94" t="s">
        <v>21</v>
      </c>
      <c r="F2" s="94" t="s">
        <v>22</v>
      </c>
      <c r="G2" s="94" t="s">
        <v>23</v>
      </c>
      <c r="H2" s="92" t="s">
        <v>19</v>
      </c>
      <c r="I2" s="93" t="s">
        <v>59</v>
      </c>
      <c r="J2" s="94" t="s">
        <v>20</v>
      </c>
      <c r="K2" s="94" t="s">
        <v>21</v>
      </c>
      <c r="L2" s="94" t="s">
        <v>22</v>
      </c>
      <c r="M2" s="94" t="s">
        <v>23</v>
      </c>
      <c r="N2" s="92" t="s">
        <v>19</v>
      </c>
      <c r="O2" s="93" t="s">
        <v>59</v>
      </c>
      <c r="P2" s="94" t="s">
        <v>20</v>
      </c>
      <c r="Q2" s="94" t="s">
        <v>21</v>
      </c>
      <c r="R2" s="94" t="s">
        <v>22</v>
      </c>
      <c r="S2" s="94" t="s">
        <v>23</v>
      </c>
      <c r="T2" s="92" t="s">
        <v>19</v>
      </c>
      <c r="U2" s="93" t="s">
        <v>59</v>
      </c>
      <c r="V2" s="94" t="s">
        <v>20</v>
      </c>
      <c r="W2" s="94" t="s">
        <v>21</v>
      </c>
      <c r="X2" s="94" t="s">
        <v>22</v>
      </c>
      <c r="Y2" s="94" t="s">
        <v>23</v>
      </c>
      <c r="Z2" s="95" t="s">
        <v>19</v>
      </c>
      <c r="AA2" s="96" t="s">
        <v>59</v>
      </c>
      <c r="AB2" s="97" t="s">
        <v>20</v>
      </c>
      <c r="AC2" s="97" t="s">
        <v>21</v>
      </c>
      <c r="AD2" s="97" t="s">
        <v>22</v>
      </c>
      <c r="AE2" s="97" t="s">
        <v>23</v>
      </c>
    </row>
    <row r="3" spans="1:31" s="1" customFormat="1" x14ac:dyDescent="0.3">
      <c r="A3" s="90"/>
      <c r="B3" s="98">
        <v>2015</v>
      </c>
      <c r="C3" s="98">
        <v>2015</v>
      </c>
      <c r="D3" s="98">
        <v>2015</v>
      </c>
      <c r="E3" s="98">
        <v>2015</v>
      </c>
      <c r="F3" s="98">
        <v>2015</v>
      </c>
      <c r="G3" s="98">
        <v>2015</v>
      </c>
      <c r="H3" s="98">
        <v>2016</v>
      </c>
      <c r="I3" s="98">
        <v>2016</v>
      </c>
      <c r="J3" s="98">
        <v>2016</v>
      </c>
      <c r="K3" s="98">
        <v>2016</v>
      </c>
      <c r="L3" s="98">
        <v>2016</v>
      </c>
      <c r="M3" s="98">
        <v>2016</v>
      </c>
      <c r="N3" s="98">
        <v>2017</v>
      </c>
      <c r="O3" s="98">
        <v>2017</v>
      </c>
      <c r="P3" s="98">
        <v>2017</v>
      </c>
      <c r="Q3" s="98">
        <v>2017</v>
      </c>
      <c r="R3" s="98">
        <v>2017</v>
      </c>
      <c r="S3" s="98">
        <v>2017</v>
      </c>
      <c r="T3" s="98">
        <v>2018</v>
      </c>
      <c r="U3" s="98">
        <v>2018</v>
      </c>
      <c r="V3" s="98">
        <v>2018</v>
      </c>
      <c r="W3" s="98">
        <v>2018</v>
      </c>
      <c r="X3" s="98">
        <v>2018</v>
      </c>
      <c r="Y3" s="99">
        <v>2018</v>
      </c>
      <c r="Z3" s="100">
        <v>2020</v>
      </c>
      <c r="AA3" s="100">
        <v>2020</v>
      </c>
      <c r="AB3" s="100">
        <v>2020</v>
      </c>
      <c r="AC3" s="100">
        <v>2020</v>
      </c>
      <c r="AD3" s="100">
        <v>2020</v>
      </c>
      <c r="AE3" s="100">
        <v>2020</v>
      </c>
    </row>
    <row r="4" spans="1:31" s="8" customFormat="1" x14ac:dyDescent="0.3">
      <c r="A4" s="82" t="s">
        <v>60</v>
      </c>
      <c r="B4" s="3">
        <f>SUM(B5:B7)</f>
        <v>0.94689999999999996</v>
      </c>
      <c r="C4" s="3">
        <f t="shared" ref="C4:Y4" si="0">SUM(C5:C7)</f>
        <v>0.9052</v>
      </c>
      <c r="D4" s="3">
        <f t="shared" si="0"/>
        <v>0.87529999999999997</v>
      </c>
      <c r="E4" s="3">
        <f t="shared" si="0"/>
        <v>0.86409999999999998</v>
      </c>
      <c r="F4" s="3">
        <f t="shared" si="0"/>
        <v>0.94090000000000007</v>
      </c>
      <c r="G4" s="3">
        <f t="shared" si="0"/>
        <v>0.98099999999999998</v>
      </c>
      <c r="H4" s="3">
        <f t="shared" si="0"/>
        <v>0.89589999999999992</v>
      </c>
      <c r="I4" s="3">
        <f t="shared" si="0"/>
        <v>0.80720000000000003</v>
      </c>
      <c r="J4" s="3">
        <f t="shared" si="0"/>
        <v>0.52329999999999999</v>
      </c>
      <c r="K4" s="3">
        <f t="shared" si="0"/>
        <v>0.78539999999999999</v>
      </c>
      <c r="L4" s="3">
        <f t="shared" si="0"/>
        <v>0.90710000000000002</v>
      </c>
      <c r="M4" s="3">
        <f t="shared" si="0"/>
        <v>0.96809999999999996</v>
      </c>
      <c r="N4" s="3">
        <f t="shared" si="0"/>
        <v>0.92479999999999996</v>
      </c>
      <c r="O4" s="3">
        <f t="shared" si="0"/>
        <v>0.86699999999999999</v>
      </c>
      <c r="P4" s="3">
        <f t="shared" si="0"/>
        <v>0.72849999999999993</v>
      </c>
      <c r="Q4" s="3">
        <f t="shared" si="0"/>
        <v>0.82410000000000005</v>
      </c>
      <c r="R4" s="3">
        <f t="shared" si="0"/>
        <v>0.93790000000000007</v>
      </c>
      <c r="S4" s="3">
        <f t="shared" si="0"/>
        <v>0.97309999999999997</v>
      </c>
      <c r="T4" s="3">
        <f t="shared" si="0"/>
        <v>0.89139999999999997</v>
      </c>
      <c r="U4" s="3">
        <f t="shared" si="0"/>
        <v>0.84230000000000005</v>
      </c>
      <c r="V4" s="3">
        <f t="shared" si="0"/>
        <v>0.69869999999999988</v>
      </c>
      <c r="W4" s="3">
        <f t="shared" si="0"/>
        <v>0.82179999999999997</v>
      </c>
      <c r="X4" s="3">
        <f t="shared" si="0"/>
        <v>0.90129999999999999</v>
      </c>
      <c r="Y4" s="3">
        <f t="shared" si="0"/>
        <v>0.93419999999999992</v>
      </c>
      <c r="Z4" s="3">
        <f>AVERAGE(AB4:AE4)</f>
        <v>0.83000000000000007</v>
      </c>
      <c r="AA4" s="3">
        <f>AVERAGE(AB4:AD4)</f>
        <v>0.79</v>
      </c>
      <c r="AB4" s="3">
        <f>SUM(AB5:AB7)</f>
        <v>0.7</v>
      </c>
      <c r="AC4" s="3">
        <f t="shared" ref="AC4:AE4" si="1">SUM(AC5:AC7)</f>
        <v>0.79999999999999993</v>
      </c>
      <c r="AD4" s="3">
        <f t="shared" si="1"/>
        <v>0.87</v>
      </c>
      <c r="AE4" s="3">
        <f t="shared" si="1"/>
        <v>0.95000000000000007</v>
      </c>
    </row>
    <row r="5" spans="1:31" ht="28.8" x14ac:dyDescent="0.3">
      <c r="A5" s="83" t="s">
        <v>55</v>
      </c>
      <c r="B5" s="4">
        <v>0.35139999999999999</v>
      </c>
      <c r="C5" s="4">
        <v>0.39179999999999998</v>
      </c>
      <c r="D5" s="4">
        <v>0.28820000000000001</v>
      </c>
      <c r="E5" s="4">
        <v>0.40839999999999999</v>
      </c>
      <c r="F5" s="4">
        <v>0.41070000000000001</v>
      </c>
      <c r="G5" s="4">
        <v>0.31830000000000003</v>
      </c>
      <c r="H5" s="4">
        <v>0.3861</v>
      </c>
      <c r="I5" s="4">
        <v>0.37390000000000001</v>
      </c>
      <c r="J5" s="4">
        <v>0.2238</v>
      </c>
      <c r="K5" s="4">
        <v>0.35070000000000001</v>
      </c>
      <c r="L5" s="4">
        <v>0.43430000000000002</v>
      </c>
      <c r="M5" s="4">
        <v>0.39600000000000002</v>
      </c>
      <c r="N5" s="4">
        <v>0.43659999999999999</v>
      </c>
      <c r="O5" s="4">
        <v>0.39489999999999997</v>
      </c>
      <c r="P5" s="4">
        <v>0.1807</v>
      </c>
      <c r="Q5" s="4">
        <v>0.37290000000000001</v>
      </c>
      <c r="R5" s="4">
        <v>0.4748</v>
      </c>
      <c r="S5" s="4">
        <v>0.47139999999999999</v>
      </c>
      <c r="T5" s="4">
        <v>0.34570000000000001</v>
      </c>
      <c r="U5" s="4">
        <v>0.36280000000000001</v>
      </c>
      <c r="V5" s="4">
        <v>0.16089999999999999</v>
      </c>
      <c r="W5" s="4">
        <v>0.32690000000000002</v>
      </c>
      <c r="X5" s="4">
        <v>0.4506</v>
      </c>
      <c r="Y5" s="5">
        <v>0.33069999999999999</v>
      </c>
      <c r="Z5" s="3">
        <f>AVERAGE(AB5:AE5)</f>
        <v>0.2525</v>
      </c>
      <c r="AA5" s="3">
        <f>AVERAGE(AB5:AD5)</f>
        <v>0.22999999999999998</v>
      </c>
      <c r="AB5" s="105">
        <v>0.1</v>
      </c>
      <c r="AC5" s="105">
        <v>0.24</v>
      </c>
      <c r="AD5" s="105">
        <v>0.35</v>
      </c>
      <c r="AE5" s="105">
        <v>0.32</v>
      </c>
    </row>
    <row r="6" spans="1:31" ht="28.8" x14ac:dyDescent="0.3">
      <c r="A6" s="84" t="s">
        <v>56</v>
      </c>
      <c r="B6" s="6">
        <v>0.27879999999999999</v>
      </c>
      <c r="C6" s="6">
        <v>0.25929999999999997</v>
      </c>
      <c r="D6" s="6">
        <v>0.37719999999999998</v>
      </c>
      <c r="E6" s="6">
        <v>0.23319999999999999</v>
      </c>
      <c r="F6" s="6">
        <v>0.24260000000000001</v>
      </c>
      <c r="G6" s="6">
        <v>0.29480000000000001</v>
      </c>
      <c r="H6" s="6">
        <v>0.2248</v>
      </c>
      <c r="I6" s="6">
        <v>0.21179999999999999</v>
      </c>
      <c r="J6" s="6">
        <v>0.2031</v>
      </c>
      <c r="K6" s="6">
        <v>0.2157</v>
      </c>
      <c r="L6" s="6">
        <v>0.21199999999999999</v>
      </c>
      <c r="M6" s="6">
        <v>0.2354</v>
      </c>
      <c r="N6" s="6">
        <v>0.21790000000000001</v>
      </c>
      <c r="O6" s="6">
        <v>0.21970000000000001</v>
      </c>
      <c r="P6" s="6">
        <v>0.23719999999999999</v>
      </c>
      <c r="Q6" s="6">
        <v>0.22739999999999999</v>
      </c>
      <c r="R6" s="6">
        <v>0.20930000000000001</v>
      </c>
      <c r="S6" s="6">
        <v>0.21640000000000001</v>
      </c>
      <c r="T6" s="6">
        <v>0.20979999999999999</v>
      </c>
      <c r="U6" s="6">
        <v>0.23380000000000001</v>
      </c>
      <c r="V6" s="6">
        <v>0.2266</v>
      </c>
      <c r="W6" s="6">
        <v>0.27239999999999998</v>
      </c>
      <c r="X6" s="6">
        <v>0.2092</v>
      </c>
      <c r="Y6" s="7">
        <v>0.18870000000000001</v>
      </c>
      <c r="Z6" s="3">
        <f>AVERAGE(AB6:AE6)</f>
        <v>0.29249999999999998</v>
      </c>
      <c r="AA6" s="3">
        <f>AVERAGE(AB6:AD6)</f>
        <v>0.29666666666666669</v>
      </c>
      <c r="AB6" s="3">
        <v>0.28000000000000003</v>
      </c>
      <c r="AC6" s="3">
        <v>0.35</v>
      </c>
      <c r="AD6" s="3">
        <v>0.26</v>
      </c>
      <c r="AE6" s="3">
        <v>0.28000000000000003</v>
      </c>
    </row>
    <row r="7" spans="1:31" ht="28.8" x14ac:dyDescent="0.3">
      <c r="A7" s="84" t="s">
        <v>57</v>
      </c>
      <c r="B7" s="6">
        <v>0.31669999999999998</v>
      </c>
      <c r="C7" s="6">
        <v>0.25409999999999999</v>
      </c>
      <c r="D7" s="6">
        <v>0.2099</v>
      </c>
      <c r="E7" s="6">
        <v>0.2225</v>
      </c>
      <c r="F7" s="6">
        <v>0.28760000000000002</v>
      </c>
      <c r="G7" s="6">
        <v>0.3679</v>
      </c>
      <c r="H7" s="6">
        <v>0.28499999999999998</v>
      </c>
      <c r="I7" s="6">
        <v>0.2215</v>
      </c>
      <c r="J7" s="6">
        <v>9.64E-2</v>
      </c>
      <c r="K7" s="6">
        <v>0.219</v>
      </c>
      <c r="L7" s="6">
        <v>0.26079999999999998</v>
      </c>
      <c r="M7" s="6">
        <v>0.3367</v>
      </c>
      <c r="N7" s="6">
        <v>0.27029999999999998</v>
      </c>
      <c r="O7" s="6">
        <v>0.25240000000000001</v>
      </c>
      <c r="P7" s="6">
        <v>0.31059999999999999</v>
      </c>
      <c r="Q7" s="6">
        <v>0.2238</v>
      </c>
      <c r="R7" s="6">
        <v>0.25380000000000003</v>
      </c>
      <c r="S7" s="6">
        <v>0.2853</v>
      </c>
      <c r="T7" s="6">
        <v>0.33589999999999998</v>
      </c>
      <c r="U7" s="6">
        <v>0.2457</v>
      </c>
      <c r="V7" s="6">
        <v>0.31119999999999998</v>
      </c>
      <c r="W7" s="6">
        <v>0.2225</v>
      </c>
      <c r="X7" s="6">
        <v>0.24149999999999999</v>
      </c>
      <c r="Y7" s="7">
        <v>0.4148</v>
      </c>
      <c r="Z7" s="3">
        <f>AVERAGE(AB7:AE7)</f>
        <v>0.28500000000000003</v>
      </c>
      <c r="AA7" s="3">
        <f>AVERAGE(AB7:AD7)</f>
        <v>0.26333333333333336</v>
      </c>
      <c r="AB7" s="3">
        <v>0.32</v>
      </c>
      <c r="AC7" s="3">
        <v>0.21</v>
      </c>
      <c r="AD7" s="3">
        <v>0.26</v>
      </c>
      <c r="AE7" s="3">
        <v>0.35</v>
      </c>
    </row>
    <row r="8" spans="1:31" x14ac:dyDescent="0.3">
      <c r="A8" s="85" t="s">
        <v>58</v>
      </c>
      <c r="B8" s="86">
        <v>5.2999999999999999E-2</v>
      </c>
      <c r="C8" s="86">
        <v>9.4799999999999995E-2</v>
      </c>
      <c r="D8" s="86">
        <v>0.12479999999999999</v>
      </c>
      <c r="E8" s="86">
        <v>0.13589999999999999</v>
      </c>
      <c r="F8" s="86">
        <v>5.91E-2</v>
      </c>
      <c r="G8" s="86">
        <v>1.89E-2</v>
      </c>
      <c r="H8" s="86">
        <v>0.1042</v>
      </c>
      <c r="I8" s="86">
        <v>0.1928</v>
      </c>
      <c r="J8" s="86">
        <v>0.47670000000000001</v>
      </c>
      <c r="K8" s="86">
        <v>0.21460000000000001</v>
      </c>
      <c r="L8" s="86">
        <v>9.2999999999999999E-2</v>
      </c>
      <c r="M8" s="86">
        <v>3.2000000000000001E-2</v>
      </c>
      <c r="N8" s="86">
        <v>7.5200000000000003E-2</v>
      </c>
      <c r="O8" s="86">
        <v>0.13300000000000001</v>
      </c>
      <c r="P8" s="86">
        <v>0.27150000000000002</v>
      </c>
      <c r="Q8" s="86">
        <v>0.1759</v>
      </c>
      <c r="R8" s="86">
        <v>6.2100000000000002E-2</v>
      </c>
      <c r="S8" s="86">
        <v>2.69E-2</v>
      </c>
      <c r="T8" s="86">
        <v>0.1086</v>
      </c>
      <c r="U8" s="86">
        <v>0.15770000000000001</v>
      </c>
      <c r="V8" s="86">
        <v>0.30130000000000001</v>
      </c>
      <c r="W8" s="86">
        <v>0.1782</v>
      </c>
      <c r="X8" s="86">
        <v>9.8699999999999996E-2</v>
      </c>
      <c r="Y8" s="87">
        <v>6.5699999999999995E-2</v>
      </c>
      <c r="Z8" s="106">
        <f>AVERAGE(AB8:AE8)</f>
        <v>0.17</v>
      </c>
      <c r="AA8" s="106">
        <f>AVERAGE(AB8:AD8)</f>
        <v>0.21000000000000005</v>
      </c>
      <c r="AB8" s="106">
        <f>100%-AB4</f>
        <v>0.30000000000000004</v>
      </c>
      <c r="AC8" s="106">
        <f t="shared" ref="AC8:AE8" si="2">100%-AC4</f>
        <v>0.20000000000000007</v>
      </c>
      <c r="AD8" s="106">
        <f t="shared" si="2"/>
        <v>0.13</v>
      </c>
      <c r="AE8" s="106">
        <f t="shared" si="2"/>
        <v>4.9999999999999933E-2</v>
      </c>
    </row>
    <row r="9" spans="1:31" x14ac:dyDescent="0.3">
      <c r="A9" s="101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7"/>
      <c r="AA9" s="107"/>
      <c r="AB9" s="107"/>
      <c r="AC9" s="107"/>
      <c r="AD9" s="107"/>
      <c r="AE9" s="107"/>
    </row>
    <row r="10" spans="1:31" x14ac:dyDescent="0.3">
      <c r="A10" s="104" t="s">
        <v>318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8"/>
      <c r="AA10" s="108"/>
      <c r="AB10" s="108"/>
      <c r="AC10" s="108"/>
      <c r="AD10" s="108"/>
      <c r="AE10" s="109"/>
    </row>
  </sheetData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0.39997558519241921"/>
  </sheetPr>
  <dimension ref="A1:U25"/>
  <sheetViews>
    <sheetView zoomScale="90" zoomScaleNormal="90" workbookViewId="0">
      <pane xSplit="1" topLeftCell="B1" activePane="topRight" state="frozen"/>
      <selection pane="topRight" activeCell="A17" sqref="A17:XFD17"/>
    </sheetView>
  </sheetViews>
  <sheetFormatPr defaultRowHeight="14.4" x14ac:dyDescent="0.3"/>
  <cols>
    <col min="1" max="1" width="28.6640625" customWidth="1"/>
    <col min="2" max="2" width="16.33203125" customWidth="1"/>
    <col min="3" max="3" width="20" customWidth="1"/>
    <col min="4" max="4" width="18.88671875" customWidth="1"/>
    <col min="5" max="5" width="19.88671875" customWidth="1"/>
    <col min="6" max="6" width="25.88671875" customWidth="1"/>
    <col min="7" max="7" width="28" customWidth="1"/>
    <col min="8" max="8" width="23.44140625" customWidth="1"/>
    <col min="9" max="9" width="24" customWidth="1"/>
    <col min="10" max="10" width="14.88671875" customWidth="1"/>
    <col min="11" max="11" width="17" customWidth="1"/>
    <col min="12" max="12" width="24.5546875" customWidth="1"/>
    <col min="13" max="13" width="15.33203125" customWidth="1"/>
    <col min="14" max="14" width="14.109375" customWidth="1"/>
    <col min="15" max="15" width="16.109375" customWidth="1"/>
    <col min="16" max="16" width="24.5546875" customWidth="1"/>
    <col min="17" max="17" width="14.44140625" customWidth="1"/>
    <col min="18" max="18" width="15.88671875" customWidth="1"/>
    <col min="19" max="19" width="18.44140625" customWidth="1"/>
    <col min="20" max="20" width="24.5546875" customWidth="1"/>
    <col min="21" max="21" width="17.6640625" customWidth="1"/>
  </cols>
  <sheetData>
    <row r="1" spans="1:21" ht="54.75" customHeight="1" x14ac:dyDescent="0.3">
      <c r="A1" s="218" t="s">
        <v>18</v>
      </c>
      <c r="B1" s="218" t="s">
        <v>66</v>
      </c>
      <c r="C1" s="218" t="s">
        <v>68</v>
      </c>
      <c r="D1" s="218" t="s">
        <v>67</v>
      </c>
      <c r="E1" s="218" t="s">
        <v>81</v>
      </c>
      <c r="F1" s="221" t="s">
        <v>78</v>
      </c>
      <c r="G1" s="221" t="s">
        <v>79</v>
      </c>
      <c r="H1" s="221" t="s">
        <v>90</v>
      </c>
      <c r="I1" s="221" t="s">
        <v>80</v>
      </c>
      <c r="J1" s="221" t="s">
        <v>69</v>
      </c>
      <c r="K1" s="221" t="s">
        <v>70</v>
      </c>
      <c r="L1" s="221" t="s">
        <v>301</v>
      </c>
      <c r="M1" s="221" t="s">
        <v>71</v>
      </c>
      <c r="N1" s="221" t="s">
        <v>72</v>
      </c>
      <c r="O1" s="221" t="s">
        <v>73</v>
      </c>
      <c r="P1" s="221" t="s">
        <v>302</v>
      </c>
      <c r="Q1" s="221" t="s">
        <v>74</v>
      </c>
      <c r="R1" s="221" t="s">
        <v>75</v>
      </c>
      <c r="S1" s="221" t="s">
        <v>76</v>
      </c>
      <c r="T1" s="221" t="s">
        <v>303</v>
      </c>
      <c r="U1" s="221" t="s">
        <v>77</v>
      </c>
    </row>
    <row r="2" spans="1:21" x14ac:dyDescent="0.3">
      <c r="A2" s="219" t="s">
        <v>1</v>
      </c>
      <c r="B2" s="202">
        <f t="shared" ref="B2:G2" si="0">SUM(B3:B18)</f>
        <v>6466101482.0299997</v>
      </c>
      <c r="C2" s="202">
        <f t="shared" si="0"/>
        <v>172</v>
      </c>
      <c r="D2" s="202">
        <f t="shared" si="0"/>
        <v>137331973.47999999</v>
      </c>
      <c r="E2" s="202">
        <f t="shared" si="0"/>
        <v>1985342096.28</v>
      </c>
      <c r="F2" s="202">
        <f t="shared" si="0"/>
        <v>11199</v>
      </c>
      <c r="G2" s="202">
        <f t="shared" si="0"/>
        <v>2390956783.1700006</v>
      </c>
      <c r="H2" s="202">
        <f>G2/3</f>
        <v>796985594.39000022</v>
      </c>
      <c r="I2" s="202">
        <f>G2/F2</f>
        <v>213497.3464746853</v>
      </c>
      <c r="J2" s="202">
        <f>SUM(J3:J18)</f>
        <v>9432</v>
      </c>
      <c r="K2" s="202">
        <f>SUM(K3:K18)</f>
        <v>1594557653.5800004</v>
      </c>
      <c r="L2" s="202">
        <f>K2/3</f>
        <v>531519217.86000013</v>
      </c>
      <c r="M2" s="202">
        <f>K2/J2</f>
        <v>169058.27540076341</v>
      </c>
      <c r="N2" s="202">
        <f>SUM(N3:N18)</f>
        <v>1523</v>
      </c>
      <c r="O2" s="202">
        <f>SUM(O3:O18)</f>
        <v>640587679.70999992</v>
      </c>
      <c r="P2" s="202">
        <f>O2/3</f>
        <v>213529226.56999996</v>
      </c>
      <c r="Q2" s="202">
        <f>O2/N2</f>
        <v>420609.11340118182</v>
      </c>
      <c r="R2" s="202">
        <f>SUM(R3:R18)</f>
        <v>214</v>
      </c>
      <c r="S2" s="202">
        <f>SUM(S3:S18)</f>
        <v>144308187.53</v>
      </c>
      <c r="T2" s="202">
        <f>S2/3</f>
        <v>48102729.17666667</v>
      </c>
      <c r="U2" s="220">
        <f>S2/R2</f>
        <v>674337.32490654208</v>
      </c>
    </row>
    <row r="3" spans="1:21" x14ac:dyDescent="0.3">
      <c r="A3" s="126" t="s">
        <v>2</v>
      </c>
      <c r="B3" s="68">
        <v>529567488.05000001</v>
      </c>
      <c r="C3" s="68">
        <v>8</v>
      </c>
      <c r="D3" s="68">
        <v>11765757.91</v>
      </c>
      <c r="E3" s="68">
        <v>151307766.39000002</v>
      </c>
      <c r="F3" s="68">
        <v>1231</v>
      </c>
      <c r="G3" s="68">
        <v>199206731.96000001</v>
      </c>
      <c r="H3" s="68">
        <f t="shared" ref="H3:H18" si="1">G3/3</f>
        <v>66402243.986666672</v>
      </c>
      <c r="I3" s="68">
        <f>G3/F3</f>
        <v>161825.12750609263</v>
      </c>
      <c r="J3" s="68">
        <v>1115</v>
      </c>
      <c r="K3" s="68">
        <v>163255934.75999999</v>
      </c>
      <c r="L3" s="68">
        <f t="shared" ref="L3:L18" si="2">K3/3</f>
        <v>54418644.919999994</v>
      </c>
      <c r="M3" s="68">
        <f>K3/J3</f>
        <v>146417.87870852018</v>
      </c>
      <c r="N3" s="68">
        <v>98</v>
      </c>
      <c r="O3" s="68">
        <v>27492590.579999998</v>
      </c>
      <c r="P3" s="68">
        <f t="shared" ref="P3:P18" si="3">O3/3</f>
        <v>9164196.8599999994</v>
      </c>
      <c r="Q3" s="68">
        <f>O3/N3</f>
        <v>280536.63857142854</v>
      </c>
      <c r="R3" s="68">
        <v>16</v>
      </c>
      <c r="S3" s="68">
        <v>8306802.6200000001</v>
      </c>
      <c r="T3" s="68">
        <f t="shared" ref="T3:T18" si="4">S3/3</f>
        <v>2768934.2066666665</v>
      </c>
      <c r="U3" s="128">
        <f>S3/R3</f>
        <v>519175.16375000001</v>
      </c>
    </row>
    <row r="4" spans="1:21" x14ac:dyDescent="0.3">
      <c r="A4" s="126" t="s">
        <v>3</v>
      </c>
      <c r="B4" s="68">
        <v>868172529.16999996</v>
      </c>
      <c r="C4" s="68">
        <v>10</v>
      </c>
      <c r="D4" s="68">
        <v>8440744.5800000001</v>
      </c>
      <c r="E4" s="68">
        <v>129063938.69999999</v>
      </c>
      <c r="F4" s="68">
        <v>584</v>
      </c>
      <c r="G4" s="68">
        <v>147478962.05000004</v>
      </c>
      <c r="H4" s="68">
        <f t="shared" si="1"/>
        <v>49159654.016666681</v>
      </c>
      <c r="I4" s="68">
        <f t="shared" ref="I4:I18" si="5">G4/F4</f>
        <v>252532.4692636987</v>
      </c>
      <c r="J4" s="68">
        <v>457</v>
      </c>
      <c r="K4" s="68">
        <v>73874511.620000005</v>
      </c>
      <c r="L4" s="68">
        <f t="shared" si="2"/>
        <v>24624837.206666667</v>
      </c>
      <c r="M4" s="68">
        <f>K4/J4</f>
        <v>161651.0101094092</v>
      </c>
      <c r="N4" s="68">
        <v>111</v>
      </c>
      <c r="O4" s="68">
        <v>62627800.43</v>
      </c>
      <c r="P4" s="68">
        <f t="shared" si="3"/>
        <v>20875933.476666667</v>
      </c>
      <c r="Q4" s="68">
        <f>O4/N4</f>
        <v>564214.41828828829</v>
      </c>
      <c r="R4" s="68">
        <v>13</v>
      </c>
      <c r="S4" s="68">
        <v>9644650</v>
      </c>
      <c r="T4" s="68">
        <f t="shared" si="4"/>
        <v>3214883.3333333335</v>
      </c>
      <c r="U4" s="128">
        <f>S4/R4</f>
        <v>741896.15384615387</v>
      </c>
    </row>
    <row r="5" spans="1:21" x14ac:dyDescent="0.3">
      <c r="A5" s="126" t="s">
        <v>4</v>
      </c>
      <c r="B5" s="68">
        <v>346081521.81999999</v>
      </c>
      <c r="C5" s="68">
        <v>11</v>
      </c>
      <c r="D5" s="68">
        <v>8739897.2599999998</v>
      </c>
      <c r="E5" s="68">
        <v>98881647.920000002</v>
      </c>
      <c r="F5" s="68">
        <v>583</v>
      </c>
      <c r="G5" s="68">
        <v>136401852.97999999</v>
      </c>
      <c r="H5" s="68">
        <f t="shared" si="1"/>
        <v>45467284.326666661</v>
      </c>
      <c r="I5" s="68">
        <f t="shared" si="5"/>
        <v>233965.44250428813</v>
      </c>
      <c r="J5" s="68">
        <v>450</v>
      </c>
      <c r="K5" s="68">
        <v>89488550.670000002</v>
      </c>
      <c r="L5" s="68">
        <f t="shared" si="2"/>
        <v>29829516.890000001</v>
      </c>
      <c r="M5" s="68">
        <f t="shared" ref="M5:M18" si="6">K5/J5</f>
        <v>198863.44593333334</v>
      </c>
      <c r="N5" s="68">
        <v>117</v>
      </c>
      <c r="O5" s="68">
        <v>35014847.600000001</v>
      </c>
      <c r="P5" s="68">
        <f t="shared" si="3"/>
        <v>11671615.866666667</v>
      </c>
      <c r="Q5" s="68">
        <f t="shared" ref="Q5:Q18" si="7">O5/N5</f>
        <v>299272.20170940174</v>
      </c>
      <c r="R5" s="68">
        <v>16</v>
      </c>
      <c r="S5" s="68">
        <v>11898454.710000001</v>
      </c>
      <c r="T5" s="68">
        <f t="shared" si="4"/>
        <v>3966151.5700000003</v>
      </c>
      <c r="U5" s="128">
        <f t="shared" ref="U5:U18" si="8">S5/R5</f>
        <v>743653.41937500006</v>
      </c>
    </row>
    <row r="6" spans="1:21" x14ac:dyDescent="0.3">
      <c r="A6" s="126" t="s">
        <v>5</v>
      </c>
      <c r="B6" s="68">
        <v>259607133.34</v>
      </c>
      <c r="C6" s="68">
        <v>11</v>
      </c>
      <c r="D6" s="68">
        <v>4241350.0999999996</v>
      </c>
      <c r="E6" s="68">
        <v>50153566.920000002</v>
      </c>
      <c r="F6" s="68">
        <v>321</v>
      </c>
      <c r="G6" s="68">
        <v>56890320.75</v>
      </c>
      <c r="H6" s="68">
        <f t="shared" si="1"/>
        <v>18963440.25</v>
      </c>
      <c r="I6" s="68">
        <f t="shared" si="5"/>
        <v>177228.41355140187</v>
      </c>
      <c r="J6" s="68">
        <v>289</v>
      </c>
      <c r="K6" s="68">
        <v>39936331.609999999</v>
      </c>
      <c r="L6" s="68">
        <f t="shared" si="2"/>
        <v>13312110.536666667</v>
      </c>
      <c r="M6" s="68">
        <f t="shared" si="6"/>
        <v>138187.99865051903</v>
      </c>
      <c r="N6" s="68">
        <v>29</v>
      </c>
      <c r="O6" s="68">
        <v>15683195.76</v>
      </c>
      <c r="P6" s="68">
        <f t="shared" si="3"/>
        <v>5227731.92</v>
      </c>
      <c r="Q6" s="68">
        <f t="shared" si="7"/>
        <v>540799.85379310348</v>
      </c>
      <c r="R6" s="68">
        <v>3</v>
      </c>
      <c r="S6" s="68">
        <v>1270793.3799999999</v>
      </c>
      <c r="T6" s="68">
        <f t="shared" si="4"/>
        <v>423597.79333333328</v>
      </c>
      <c r="U6" s="128">
        <f t="shared" si="8"/>
        <v>423597.79333333328</v>
      </c>
    </row>
    <row r="7" spans="1:21" x14ac:dyDescent="0.3">
      <c r="A7" s="126" t="s">
        <v>6</v>
      </c>
      <c r="B7" s="68">
        <v>523846062.54000002</v>
      </c>
      <c r="C7" s="68">
        <v>10</v>
      </c>
      <c r="D7" s="68">
        <v>13757018.98</v>
      </c>
      <c r="E7" s="68">
        <v>210723495.81</v>
      </c>
      <c r="F7" s="68">
        <v>936</v>
      </c>
      <c r="G7" s="68">
        <v>233879254.83000001</v>
      </c>
      <c r="H7" s="68">
        <f t="shared" si="1"/>
        <v>77959751.609999999</v>
      </c>
      <c r="I7" s="68">
        <f t="shared" si="5"/>
        <v>249870.99875000003</v>
      </c>
      <c r="J7" s="68">
        <v>780</v>
      </c>
      <c r="K7" s="68">
        <v>132520187.81999999</v>
      </c>
      <c r="L7" s="68">
        <f t="shared" si="2"/>
        <v>44173395.939999998</v>
      </c>
      <c r="M7" s="68">
        <f t="shared" si="6"/>
        <v>169897.67669230769</v>
      </c>
      <c r="N7" s="68">
        <v>114</v>
      </c>
      <c r="O7" s="68">
        <v>69207175.329999998</v>
      </c>
      <c r="P7" s="68">
        <f t="shared" si="3"/>
        <v>23069058.443333331</v>
      </c>
      <c r="Q7" s="68">
        <f t="shared" si="7"/>
        <v>607080.48535087716</v>
      </c>
      <c r="R7" s="68">
        <v>36</v>
      </c>
      <c r="S7" s="68">
        <v>27722349.960000001</v>
      </c>
      <c r="T7" s="68">
        <f t="shared" si="4"/>
        <v>9240783.3200000003</v>
      </c>
      <c r="U7" s="128">
        <f t="shared" si="8"/>
        <v>770065.27666666673</v>
      </c>
    </row>
    <row r="8" spans="1:21" x14ac:dyDescent="0.3">
      <c r="A8" s="126" t="s">
        <v>7</v>
      </c>
      <c r="B8" s="68">
        <v>312698826</v>
      </c>
      <c r="C8" s="68">
        <v>13</v>
      </c>
      <c r="D8" s="68">
        <v>9252912.9800000004</v>
      </c>
      <c r="E8" s="68">
        <v>136249723.62</v>
      </c>
      <c r="F8" s="68">
        <v>830</v>
      </c>
      <c r="G8" s="68">
        <v>171989703.64999998</v>
      </c>
      <c r="H8" s="68">
        <f t="shared" si="1"/>
        <v>57329901.216666661</v>
      </c>
      <c r="I8" s="68">
        <f t="shared" si="5"/>
        <v>207216.51042168672</v>
      </c>
      <c r="J8" s="68">
        <v>654</v>
      </c>
      <c r="K8" s="68">
        <v>107352598.76000001</v>
      </c>
      <c r="L8" s="68">
        <f t="shared" si="2"/>
        <v>35784199.586666666</v>
      </c>
      <c r="M8" s="68">
        <f t="shared" si="6"/>
        <v>164147.7045259939</v>
      </c>
      <c r="N8" s="68">
        <v>157</v>
      </c>
      <c r="O8" s="68">
        <v>54418543.579999998</v>
      </c>
      <c r="P8" s="68">
        <f t="shared" si="3"/>
        <v>18139514.526666667</v>
      </c>
      <c r="Q8" s="68">
        <f t="shared" si="7"/>
        <v>346614.92726114648</v>
      </c>
      <c r="R8" s="68">
        <v>18</v>
      </c>
      <c r="S8" s="68">
        <v>10117461.310000001</v>
      </c>
      <c r="T8" s="68">
        <f t="shared" si="4"/>
        <v>3372487.1033333335</v>
      </c>
      <c r="U8" s="128">
        <f t="shared" si="8"/>
        <v>562081.18388888892</v>
      </c>
    </row>
    <row r="9" spans="1:21" x14ac:dyDescent="0.3">
      <c r="A9" s="126" t="s">
        <v>8</v>
      </c>
      <c r="B9" s="68">
        <v>282171053.75</v>
      </c>
      <c r="C9" s="68">
        <v>5</v>
      </c>
      <c r="D9" s="68">
        <v>4477297.21</v>
      </c>
      <c r="E9" s="68">
        <v>56919197.090000004</v>
      </c>
      <c r="F9" s="68">
        <v>257</v>
      </c>
      <c r="G9" s="68">
        <v>78228998.920000002</v>
      </c>
      <c r="H9" s="68">
        <f t="shared" si="1"/>
        <v>26076332.973333333</v>
      </c>
      <c r="I9" s="68">
        <f t="shared" si="5"/>
        <v>304392.9919066148</v>
      </c>
      <c r="J9" s="68">
        <v>221</v>
      </c>
      <c r="K9" s="68">
        <v>45006643.619999997</v>
      </c>
      <c r="L9" s="68">
        <f t="shared" si="2"/>
        <v>15002214.539999999</v>
      </c>
      <c r="M9" s="68">
        <f t="shared" si="6"/>
        <v>203649.97113122171</v>
      </c>
      <c r="N9" s="68">
        <v>32</v>
      </c>
      <c r="O9" s="68">
        <v>29122735.420000002</v>
      </c>
      <c r="P9" s="68">
        <f t="shared" si="3"/>
        <v>9707578.4733333346</v>
      </c>
      <c r="Q9" s="68">
        <f t="shared" si="7"/>
        <v>910085.48187500006</v>
      </c>
      <c r="R9" s="68">
        <v>4</v>
      </c>
      <c r="S9" s="68">
        <v>4099619.88</v>
      </c>
      <c r="T9" s="68">
        <f t="shared" si="4"/>
        <v>1366539.96</v>
      </c>
      <c r="U9" s="128">
        <f t="shared" si="8"/>
        <v>1024904.97</v>
      </c>
    </row>
    <row r="10" spans="1:21" x14ac:dyDescent="0.3">
      <c r="A10" s="126" t="s">
        <v>9</v>
      </c>
      <c r="B10" s="68">
        <v>181264765.41999999</v>
      </c>
      <c r="C10" s="68">
        <v>10</v>
      </c>
      <c r="D10" s="68">
        <v>6948422.71</v>
      </c>
      <c r="E10" s="68">
        <v>117917814.31999999</v>
      </c>
      <c r="F10" s="68">
        <v>544</v>
      </c>
      <c r="G10" s="68">
        <v>148021660.85999998</v>
      </c>
      <c r="H10" s="68">
        <f t="shared" si="1"/>
        <v>49340553.619999997</v>
      </c>
      <c r="I10" s="68">
        <f t="shared" si="5"/>
        <v>272098.6412867647</v>
      </c>
      <c r="J10" s="68">
        <v>435</v>
      </c>
      <c r="K10" s="68">
        <v>95076410.49000001</v>
      </c>
      <c r="L10" s="68">
        <f t="shared" si="2"/>
        <v>31692136.830000002</v>
      </c>
      <c r="M10" s="68">
        <f t="shared" si="6"/>
        <v>218566.46089655175</v>
      </c>
      <c r="N10" s="68">
        <v>92</v>
      </c>
      <c r="O10" s="68">
        <v>47184842.839999996</v>
      </c>
      <c r="P10" s="68">
        <f t="shared" si="3"/>
        <v>15728280.946666665</v>
      </c>
      <c r="Q10" s="68">
        <f t="shared" si="7"/>
        <v>512878.7265217391</v>
      </c>
      <c r="R10" s="68">
        <v>12</v>
      </c>
      <c r="S10" s="68">
        <v>5066756.6400000006</v>
      </c>
      <c r="T10" s="68">
        <f t="shared" si="4"/>
        <v>1688918.8800000001</v>
      </c>
      <c r="U10" s="128">
        <f t="shared" si="8"/>
        <v>422229.72000000003</v>
      </c>
    </row>
    <row r="11" spans="1:21" x14ac:dyDescent="0.3">
      <c r="A11" s="126" t="s">
        <v>10</v>
      </c>
      <c r="B11" s="68">
        <v>268628338.73000002</v>
      </c>
      <c r="C11" s="68">
        <v>13</v>
      </c>
      <c r="D11" s="68">
        <v>7309011.9600000009</v>
      </c>
      <c r="E11" s="68">
        <v>104034579.23</v>
      </c>
      <c r="F11" s="68">
        <v>613</v>
      </c>
      <c r="G11" s="68">
        <v>132261540.40000001</v>
      </c>
      <c r="H11" s="68">
        <f t="shared" si="1"/>
        <v>44087180.133333333</v>
      </c>
      <c r="I11" s="68">
        <f t="shared" si="5"/>
        <v>215761.07732463296</v>
      </c>
      <c r="J11" s="68">
        <v>437</v>
      </c>
      <c r="K11" s="68">
        <v>77745522.060000002</v>
      </c>
      <c r="L11" s="68">
        <f t="shared" si="2"/>
        <v>25915174.02</v>
      </c>
      <c r="M11" s="68">
        <f t="shared" si="6"/>
        <v>177907.37313501144</v>
      </c>
      <c r="N11" s="68">
        <v>144</v>
      </c>
      <c r="O11" s="68">
        <v>44432564.229999997</v>
      </c>
      <c r="P11" s="68">
        <f t="shared" si="3"/>
        <v>14810854.743333332</v>
      </c>
      <c r="Q11" s="68">
        <f t="shared" si="7"/>
        <v>308559.47381944442</v>
      </c>
      <c r="R11" s="68">
        <v>30</v>
      </c>
      <c r="S11" s="68">
        <v>9663454.1099999994</v>
      </c>
      <c r="T11" s="68">
        <f t="shared" si="4"/>
        <v>3221151.3699999996</v>
      </c>
      <c r="U11" s="128">
        <f t="shared" si="8"/>
        <v>322115.13699999999</v>
      </c>
    </row>
    <row r="12" spans="1:21" x14ac:dyDescent="0.3">
      <c r="A12" s="126" t="s">
        <v>11</v>
      </c>
      <c r="B12" s="68">
        <v>203797647.10000002</v>
      </c>
      <c r="C12" s="68">
        <v>13</v>
      </c>
      <c r="D12" s="68">
        <v>4083467.6700000004</v>
      </c>
      <c r="E12" s="68">
        <v>55815970.299999997</v>
      </c>
      <c r="F12" s="68">
        <v>195</v>
      </c>
      <c r="G12" s="68">
        <v>66266547.420000002</v>
      </c>
      <c r="H12" s="68">
        <f t="shared" si="1"/>
        <v>22088849.140000001</v>
      </c>
      <c r="I12" s="68">
        <f t="shared" si="5"/>
        <v>339828.44830769231</v>
      </c>
      <c r="J12" s="68">
        <v>144</v>
      </c>
      <c r="K12" s="68">
        <v>33619217.140000001</v>
      </c>
      <c r="L12" s="68">
        <f t="shared" si="2"/>
        <v>11206405.713333333</v>
      </c>
      <c r="M12" s="68">
        <f t="shared" si="6"/>
        <v>233466.78569444444</v>
      </c>
      <c r="N12" s="68">
        <v>38</v>
      </c>
      <c r="O12" s="68">
        <v>21348846.82</v>
      </c>
      <c r="P12" s="68">
        <f t="shared" si="3"/>
        <v>7116282.2733333334</v>
      </c>
      <c r="Q12" s="68">
        <f t="shared" si="7"/>
        <v>561811.7584210526</v>
      </c>
      <c r="R12" s="68">
        <v>11</v>
      </c>
      <c r="S12" s="68">
        <v>9135347</v>
      </c>
      <c r="T12" s="68">
        <f t="shared" si="4"/>
        <v>3045115.6666666665</v>
      </c>
      <c r="U12" s="128">
        <f t="shared" si="8"/>
        <v>830486.09090909094</v>
      </c>
    </row>
    <row r="13" spans="1:21" x14ac:dyDescent="0.3">
      <c r="A13" s="126" t="s">
        <v>12</v>
      </c>
      <c r="B13" s="68">
        <v>429910400.81999999</v>
      </c>
      <c r="C13" s="68">
        <v>9</v>
      </c>
      <c r="D13" s="68">
        <v>16054487</v>
      </c>
      <c r="E13" s="68">
        <v>223187377.21000001</v>
      </c>
      <c r="F13" s="68">
        <v>1526</v>
      </c>
      <c r="G13" s="68">
        <v>268869754.85000014</v>
      </c>
      <c r="H13" s="68">
        <f t="shared" si="1"/>
        <v>89623251.616666719</v>
      </c>
      <c r="I13" s="68">
        <f t="shared" si="5"/>
        <v>176192.49990170391</v>
      </c>
      <c r="J13" s="68">
        <v>1406</v>
      </c>
      <c r="K13" s="68">
        <v>221109562.89000013</v>
      </c>
      <c r="L13" s="68">
        <f t="shared" si="2"/>
        <v>73703187.63000004</v>
      </c>
      <c r="M13" s="68">
        <f t="shared" si="6"/>
        <v>157261.42453058332</v>
      </c>
      <c r="N13" s="68">
        <v>113</v>
      </c>
      <c r="O13" s="68">
        <v>38910191.969999999</v>
      </c>
      <c r="P13" s="68">
        <f t="shared" si="3"/>
        <v>12970063.99</v>
      </c>
      <c r="Q13" s="68">
        <f t="shared" si="7"/>
        <v>344337.98203539819</v>
      </c>
      <c r="R13" s="68">
        <v>6</v>
      </c>
      <c r="S13" s="68">
        <v>8549999.9900000002</v>
      </c>
      <c r="T13" s="68">
        <f t="shared" si="4"/>
        <v>2849999.9966666666</v>
      </c>
      <c r="U13" s="128">
        <f t="shared" si="8"/>
        <v>1424999.9983333333</v>
      </c>
    </row>
    <row r="14" spans="1:21" x14ac:dyDescent="0.3">
      <c r="A14" s="126" t="s">
        <v>13</v>
      </c>
      <c r="B14" s="68">
        <v>631772705.88</v>
      </c>
      <c r="C14" s="68">
        <v>3</v>
      </c>
      <c r="D14" s="68">
        <v>5384745.5899999999</v>
      </c>
      <c r="E14" s="68">
        <v>66384483.850000001</v>
      </c>
      <c r="F14" s="68">
        <v>154</v>
      </c>
      <c r="G14" s="68">
        <v>81646751.25</v>
      </c>
      <c r="H14" s="68">
        <f t="shared" si="1"/>
        <v>27215583.75</v>
      </c>
      <c r="I14" s="68">
        <f t="shared" si="5"/>
        <v>530173.70941558445</v>
      </c>
      <c r="J14" s="68">
        <v>98</v>
      </c>
      <c r="K14" s="68">
        <v>18548469.289999999</v>
      </c>
      <c r="L14" s="68">
        <f t="shared" si="2"/>
        <v>6182823.0966666667</v>
      </c>
      <c r="M14" s="68">
        <f t="shared" si="6"/>
        <v>189270.09479591835</v>
      </c>
      <c r="N14" s="68">
        <v>45</v>
      </c>
      <c r="O14" s="68">
        <v>45423281.960000001</v>
      </c>
      <c r="P14" s="68">
        <f t="shared" si="3"/>
        <v>15141093.986666666</v>
      </c>
      <c r="Q14" s="68">
        <f t="shared" si="7"/>
        <v>1009406.2657777778</v>
      </c>
      <c r="R14" s="68">
        <v>11</v>
      </c>
      <c r="S14" s="68">
        <v>17675000</v>
      </c>
      <c r="T14" s="68">
        <f t="shared" si="4"/>
        <v>5891666.666666667</v>
      </c>
      <c r="U14" s="128">
        <f t="shared" si="8"/>
        <v>1606818.1818181819</v>
      </c>
    </row>
    <row r="15" spans="1:21" x14ac:dyDescent="0.3">
      <c r="A15" s="126" t="s">
        <v>14</v>
      </c>
      <c r="B15" s="68">
        <v>245647058.81999999</v>
      </c>
      <c r="C15" s="68">
        <v>5</v>
      </c>
      <c r="D15" s="68">
        <v>4187012.8</v>
      </c>
      <c r="E15" s="68">
        <v>74468659.25</v>
      </c>
      <c r="F15" s="68">
        <v>535</v>
      </c>
      <c r="G15" s="68">
        <v>89539507.23999998</v>
      </c>
      <c r="H15" s="68">
        <f t="shared" si="1"/>
        <v>29846502.413333327</v>
      </c>
      <c r="I15" s="68">
        <f t="shared" si="5"/>
        <v>167363.56493457939</v>
      </c>
      <c r="J15" s="68">
        <v>473</v>
      </c>
      <c r="K15" s="68">
        <v>66349656.700000003</v>
      </c>
      <c r="L15" s="68">
        <f t="shared" si="2"/>
        <v>22116552.233333334</v>
      </c>
      <c r="M15" s="68">
        <f t="shared" si="6"/>
        <v>140274.1156448203</v>
      </c>
      <c r="N15" s="68">
        <v>57</v>
      </c>
      <c r="O15" s="68">
        <v>19671626.079999998</v>
      </c>
      <c r="P15" s="68">
        <f t="shared" si="3"/>
        <v>6557208.6933333324</v>
      </c>
      <c r="Q15" s="68">
        <f t="shared" si="7"/>
        <v>345116.24701754382</v>
      </c>
      <c r="R15" s="68">
        <v>4</v>
      </c>
      <c r="S15" s="68">
        <v>3313060.46</v>
      </c>
      <c r="T15" s="68">
        <f t="shared" si="4"/>
        <v>1104353.4866666666</v>
      </c>
      <c r="U15" s="128">
        <f t="shared" si="8"/>
        <v>828265.11499999999</v>
      </c>
    </row>
    <row r="16" spans="1:21" x14ac:dyDescent="0.3">
      <c r="A16" s="126" t="s">
        <v>15</v>
      </c>
      <c r="B16" s="68">
        <v>298926529.40999997</v>
      </c>
      <c r="C16" s="68">
        <v>12</v>
      </c>
      <c r="D16" s="68">
        <v>5633877.6499999994</v>
      </c>
      <c r="E16" s="68">
        <v>78002541.930000007</v>
      </c>
      <c r="F16" s="68">
        <v>395</v>
      </c>
      <c r="G16" s="68">
        <v>81773110.409999982</v>
      </c>
      <c r="H16" s="68">
        <f t="shared" si="1"/>
        <v>27257703.469999995</v>
      </c>
      <c r="I16" s="68">
        <f t="shared" si="5"/>
        <v>207020.53268354427</v>
      </c>
      <c r="J16" s="68">
        <v>356</v>
      </c>
      <c r="K16" s="68">
        <v>63116469.73999998</v>
      </c>
      <c r="L16" s="68">
        <f t="shared" si="2"/>
        <v>21038823.246666659</v>
      </c>
      <c r="M16" s="68">
        <f t="shared" si="6"/>
        <v>177293.45432584264</v>
      </c>
      <c r="N16" s="68">
        <v>34</v>
      </c>
      <c r="O16" s="68">
        <v>16470140.669999998</v>
      </c>
      <c r="P16" s="68">
        <f t="shared" si="3"/>
        <v>5490046.8899999997</v>
      </c>
      <c r="Q16" s="68">
        <f t="shared" si="7"/>
        <v>484415.9020588235</v>
      </c>
      <c r="R16" s="68">
        <v>4</v>
      </c>
      <c r="S16" s="68">
        <v>1886500</v>
      </c>
      <c r="T16" s="68">
        <f t="shared" si="4"/>
        <v>628833.33333333337</v>
      </c>
      <c r="U16" s="128">
        <f t="shared" si="8"/>
        <v>471625</v>
      </c>
    </row>
    <row r="17" spans="1:21" x14ac:dyDescent="0.3">
      <c r="A17" s="126" t="s">
        <v>16</v>
      </c>
      <c r="B17" s="68">
        <v>712588209.41999996</v>
      </c>
      <c r="C17" s="68">
        <v>26</v>
      </c>
      <c r="D17" s="68">
        <v>19088005.91</v>
      </c>
      <c r="E17" s="68">
        <v>298091267.88</v>
      </c>
      <c r="F17" s="68">
        <v>1876</v>
      </c>
      <c r="G17" s="68">
        <v>342233416.83999979</v>
      </c>
      <c r="H17" s="68">
        <f t="shared" si="1"/>
        <v>114077805.61333327</v>
      </c>
      <c r="I17" s="68">
        <f t="shared" si="5"/>
        <v>182427.19447761183</v>
      </c>
      <c r="J17" s="68">
        <v>1561</v>
      </c>
      <c r="K17" s="68">
        <v>238767531.03999999</v>
      </c>
      <c r="L17" s="68">
        <f t="shared" si="2"/>
        <v>79589177.013333336</v>
      </c>
      <c r="M17" s="68">
        <f t="shared" si="6"/>
        <v>152958.05960281871</v>
      </c>
      <c r="N17" s="68">
        <v>284</v>
      </c>
      <c r="O17" s="68">
        <v>89738994.040000007</v>
      </c>
      <c r="P17" s="68">
        <f t="shared" si="3"/>
        <v>29912998.013333336</v>
      </c>
      <c r="Q17" s="68">
        <f t="shared" si="7"/>
        <v>315982.37338028173</v>
      </c>
      <c r="R17" s="68">
        <v>25</v>
      </c>
      <c r="S17" s="68">
        <v>12319626.48</v>
      </c>
      <c r="T17" s="68">
        <f t="shared" si="4"/>
        <v>4106542.16</v>
      </c>
      <c r="U17" s="128">
        <f t="shared" si="8"/>
        <v>492785.05920000002</v>
      </c>
    </row>
    <row r="18" spans="1:21" x14ac:dyDescent="0.3">
      <c r="A18" s="129" t="s">
        <v>17</v>
      </c>
      <c r="B18" s="68">
        <v>371421211.75999999</v>
      </c>
      <c r="C18" s="68">
        <v>13</v>
      </c>
      <c r="D18" s="68">
        <v>7967963.1699999999</v>
      </c>
      <c r="E18" s="68">
        <v>134140065.86</v>
      </c>
      <c r="F18" s="68">
        <v>619</v>
      </c>
      <c r="G18" s="68">
        <v>156268668.76000005</v>
      </c>
      <c r="H18" s="68">
        <f t="shared" si="1"/>
        <v>52089556.253333353</v>
      </c>
      <c r="I18" s="68">
        <f t="shared" si="5"/>
        <v>252453.4228756059</v>
      </c>
      <c r="J18" s="68">
        <v>556</v>
      </c>
      <c r="K18" s="68">
        <v>128790055.37000003</v>
      </c>
      <c r="L18" s="68">
        <f t="shared" si="2"/>
        <v>42930018.456666678</v>
      </c>
      <c r="M18" s="68">
        <f t="shared" si="6"/>
        <v>231636.79023381302</v>
      </c>
      <c r="N18" s="68">
        <v>58</v>
      </c>
      <c r="O18" s="68">
        <v>23840302.399999995</v>
      </c>
      <c r="P18" s="68">
        <f t="shared" si="3"/>
        <v>7946767.4666666649</v>
      </c>
      <c r="Q18" s="68">
        <f t="shared" si="7"/>
        <v>411039.69655172405</v>
      </c>
      <c r="R18" s="68">
        <v>5</v>
      </c>
      <c r="S18" s="68">
        <v>3638310.9899999998</v>
      </c>
      <c r="T18" s="68">
        <f t="shared" si="4"/>
        <v>1212770.3299999998</v>
      </c>
      <c r="U18" s="128">
        <f t="shared" si="8"/>
        <v>727662.19799999997</v>
      </c>
    </row>
    <row r="19" spans="1:21" s="2" customFormat="1" x14ac:dyDescent="0.3">
      <c r="A19" s="179"/>
      <c r="B19" s="222"/>
      <c r="C19" s="222"/>
      <c r="D19" s="222"/>
      <c r="E19" s="222"/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</row>
    <row r="20" spans="1:21" s="2" customFormat="1" ht="15" customHeight="1" x14ac:dyDescent="0.3">
      <c r="A20" s="256" t="s">
        <v>419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255"/>
    </row>
    <row r="25" spans="1:21" x14ac:dyDescent="0.3">
      <c r="G25" s="81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P33"/>
  <sheetViews>
    <sheetView zoomScale="90" zoomScaleNormal="90" workbookViewId="0">
      <pane xSplit="1" topLeftCell="BC1" activePane="topRight" state="frozen"/>
      <selection pane="topRight" activeCell="BG1" sqref="BG1:BG1048576"/>
    </sheetView>
  </sheetViews>
  <sheetFormatPr defaultRowHeight="14.4" x14ac:dyDescent="0.3"/>
  <cols>
    <col min="1" max="1" width="29.33203125" customWidth="1"/>
    <col min="2" max="2" width="19.5546875" customWidth="1"/>
    <col min="3" max="5" width="12" customWidth="1"/>
    <col min="6" max="6" width="17.109375" customWidth="1"/>
    <col min="7" max="9" width="12" customWidth="1"/>
    <col min="10" max="10" width="14.33203125" customWidth="1"/>
    <col min="11" max="11" width="14" customWidth="1"/>
    <col min="12" max="12" width="30.6640625" customWidth="1"/>
    <col min="13" max="13" width="13.6640625" customWidth="1"/>
    <col min="14" max="14" width="13" customWidth="1"/>
    <col min="15" max="15" width="13.109375" customWidth="1"/>
    <col min="16" max="16" width="19.88671875" customWidth="1"/>
    <col min="17" max="19" width="14.88671875" customWidth="1"/>
    <col min="20" max="20" width="18.109375" customWidth="1"/>
    <col min="21" max="22" width="13.109375" customWidth="1"/>
    <col min="23" max="23" width="22" customWidth="1"/>
    <col min="24" max="24" width="13" customWidth="1"/>
    <col min="25" max="25" width="19.109375" customWidth="1"/>
    <col min="26" max="28" width="13" customWidth="1"/>
    <col min="29" max="29" width="26.44140625" customWidth="1"/>
    <col min="30" max="30" width="13.109375" customWidth="1"/>
    <col min="31" max="32" width="13" customWidth="1"/>
    <col min="33" max="33" width="20.33203125" customWidth="1"/>
    <col min="34" max="34" width="13" customWidth="1"/>
    <col min="35" max="35" width="29.44140625" customWidth="1"/>
    <col min="36" max="38" width="13" customWidth="1"/>
    <col min="39" max="39" width="25.5546875" customWidth="1"/>
    <col min="40" max="42" width="13" customWidth="1"/>
    <col min="43" max="43" width="28.6640625" customWidth="1"/>
    <col min="44" max="44" width="19" customWidth="1"/>
    <col min="45" max="45" width="23.88671875" customWidth="1"/>
    <col min="46" max="48" width="13" customWidth="1"/>
    <col min="49" max="49" width="27.6640625" customWidth="1"/>
    <col min="50" max="52" width="13" customWidth="1"/>
    <col min="53" max="53" width="23" customWidth="1"/>
    <col min="54" max="54" width="14.109375" customWidth="1"/>
    <col min="55" max="55" width="34.5546875" customWidth="1"/>
    <col min="56" max="58" width="13" customWidth="1"/>
    <col min="59" max="59" width="22.6640625" customWidth="1"/>
    <col min="60" max="62" width="13" customWidth="1"/>
    <col min="63" max="63" width="16.88671875" customWidth="1"/>
    <col min="64" max="65" width="13" customWidth="1"/>
    <col min="66" max="66" width="12.109375" bestFit="1" customWidth="1"/>
    <col min="67" max="67" width="9.6640625" bestFit="1" customWidth="1"/>
    <col min="68" max="68" width="14.88671875" bestFit="1" customWidth="1"/>
  </cols>
  <sheetData>
    <row r="1" spans="1:68" ht="70.5" customHeight="1" thickBot="1" x14ac:dyDescent="0.35">
      <c r="A1" s="143" t="s">
        <v>18</v>
      </c>
      <c r="B1" s="143" t="s">
        <v>53</v>
      </c>
      <c r="C1" s="143" t="s">
        <v>20</v>
      </c>
      <c r="D1" s="143" t="s">
        <v>21</v>
      </c>
      <c r="E1" s="143" t="s">
        <v>22</v>
      </c>
      <c r="F1" s="282" t="s">
        <v>359</v>
      </c>
      <c r="G1" s="143" t="s">
        <v>360</v>
      </c>
      <c r="H1" s="143" t="s">
        <v>361</v>
      </c>
      <c r="I1" s="143" t="s">
        <v>362</v>
      </c>
      <c r="J1" s="143" t="s">
        <v>363</v>
      </c>
      <c r="K1" s="143" t="s">
        <v>364</v>
      </c>
      <c r="L1" s="263" t="s">
        <v>62</v>
      </c>
      <c r="M1" s="263" t="s">
        <v>191</v>
      </c>
      <c r="N1" s="263" t="s">
        <v>198</v>
      </c>
      <c r="O1" s="263" t="s">
        <v>199</v>
      </c>
      <c r="P1" s="263" t="s">
        <v>127</v>
      </c>
      <c r="Q1" s="263" t="s">
        <v>197</v>
      </c>
      <c r="R1" s="263" t="s">
        <v>204</v>
      </c>
      <c r="S1" s="263" t="s">
        <v>205</v>
      </c>
      <c r="T1" s="263" t="s">
        <v>355</v>
      </c>
      <c r="U1" s="263" t="s">
        <v>357</v>
      </c>
      <c r="V1" s="263" t="s">
        <v>356</v>
      </c>
      <c r="W1" s="283" t="s">
        <v>129</v>
      </c>
      <c r="X1" s="283" t="s">
        <v>358</v>
      </c>
      <c r="Y1" s="263" t="s">
        <v>84</v>
      </c>
      <c r="Z1" s="263" t="s">
        <v>185</v>
      </c>
      <c r="AA1" s="263" t="s">
        <v>186</v>
      </c>
      <c r="AB1" s="263" t="s">
        <v>187</v>
      </c>
      <c r="AC1" s="263" t="s">
        <v>134</v>
      </c>
      <c r="AD1" s="263" t="s">
        <v>203</v>
      </c>
      <c r="AE1" s="263" t="s">
        <v>192</v>
      </c>
      <c r="AF1" s="263" t="s">
        <v>193</v>
      </c>
      <c r="AG1" s="263" t="s">
        <v>85</v>
      </c>
      <c r="AH1" s="263" t="s">
        <v>365</v>
      </c>
      <c r="AI1" s="263" t="s">
        <v>128</v>
      </c>
      <c r="AJ1" s="263" t="s">
        <v>209</v>
      </c>
      <c r="AK1" s="263" t="s">
        <v>210</v>
      </c>
      <c r="AL1" s="263" t="s">
        <v>211</v>
      </c>
      <c r="AM1" s="263" t="s">
        <v>138</v>
      </c>
      <c r="AN1" s="263" t="s">
        <v>215</v>
      </c>
      <c r="AO1" s="263" t="s">
        <v>216</v>
      </c>
      <c r="AP1" s="263" t="s">
        <v>217</v>
      </c>
      <c r="AQ1" s="263" t="s">
        <v>366</v>
      </c>
      <c r="AR1" s="263" t="s">
        <v>131</v>
      </c>
      <c r="AS1" s="263" t="s">
        <v>139</v>
      </c>
      <c r="AT1" s="263" t="s">
        <v>220</v>
      </c>
      <c r="AU1" s="263" t="s">
        <v>221</v>
      </c>
      <c r="AV1" s="263" t="s">
        <v>222</v>
      </c>
      <c r="AW1" s="263" t="s">
        <v>135</v>
      </c>
      <c r="AX1" s="263" t="s">
        <v>226</v>
      </c>
      <c r="AY1" s="263" t="s">
        <v>227</v>
      </c>
      <c r="AZ1" s="263" t="s">
        <v>228</v>
      </c>
      <c r="BA1" s="263" t="s">
        <v>133</v>
      </c>
      <c r="BB1" s="263" t="s">
        <v>132</v>
      </c>
      <c r="BC1" s="263" t="s">
        <v>136</v>
      </c>
      <c r="BD1" s="263" t="s">
        <v>232</v>
      </c>
      <c r="BE1" s="263" t="s">
        <v>233</v>
      </c>
      <c r="BF1" s="263" t="s">
        <v>234</v>
      </c>
      <c r="BG1" s="263" t="s">
        <v>140</v>
      </c>
      <c r="BH1" s="263" t="s">
        <v>238</v>
      </c>
      <c r="BI1" s="263" t="s">
        <v>239</v>
      </c>
      <c r="BJ1" s="263" t="s">
        <v>240</v>
      </c>
      <c r="BK1" s="263" t="s">
        <v>141</v>
      </c>
      <c r="BL1" s="263" t="s">
        <v>147</v>
      </c>
      <c r="BM1" s="263" t="s">
        <v>148</v>
      </c>
    </row>
    <row r="2" spans="1:68" ht="15" thickTop="1" x14ac:dyDescent="0.3">
      <c r="A2" s="212"/>
      <c r="B2" s="213" t="s">
        <v>63</v>
      </c>
      <c r="C2" s="213" t="s">
        <v>20</v>
      </c>
      <c r="D2" s="213" t="s">
        <v>21</v>
      </c>
      <c r="E2" s="213" t="s">
        <v>22</v>
      </c>
      <c r="F2" s="213" t="s">
        <v>20</v>
      </c>
      <c r="G2" s="213" t="s">
        <v>20</v>
      </c>
      <c r="H2" s="213" t="s">
        <v>21</v>
      </c>
      <c r="I2" s="213" t="s">
        <v>21</v>
      </c>
      <c r="J2" s="213" t="s">
        <v>22</v>
      </c>
      <c r="K2" s="213" t="s">
        <v>22</v>
      </c>
      <c r="L2" s="214" t="s">
        <v>63</v>
      </c>
      <c r="M2" s="214" t="s">
        <v>20</v>
      </c>
      <c r="N2" s="214" t="s">
        <v>21</v>
      </c>
      <c r="O2" s="214" t="s">
        <v>22</v>
      </c>
      <c r="P2" s="214" t="s">
        <v>64</v>
      </c>
      <c r="Q2" s="214" t="s">
        <v>20</v>
      </c>
      <c r="R2" s="214" t="s">
        <v>21</v>
      </c>
      <c r="S2" s="214" t="s">
        <v>22</v>
      </c>
      <c r="T2" s="214" t="s">
        <v>20</v>
      </c>
      <c r="U2" s="214" t="s">
        <v>21</v>
      </c>
      <c r="V2" s="214" t="s">
        <v>22</v>
      </c>
      <c r="W2" s="214" t="s">
        <v>19</v>
      </c>
      <c r="X2" s="214" t="s">
        <v>19</v>
      </c>
      <c r="Y2" s="215" t="s">
        <v>64</v>
      </c>
      <c r="Z2" s="216" t="s">
        <v>20</v>
      </c>
      <c r="AA2" s="216" t="s">
        <v>21</v>
      </c>
      <c r="AB2" s="216" t="s">
        <v>22</v>
      </c>
      <c r="AC2" s="215" t="s">
        <v>64</v>
      </c>
      <c r="AD2" s="216" t="s">
        <v>20</v>
      </c>
      <c r="AE2" s="216" t="s">
        <v>21</v>
      </c>
      <c r="AF2" s="216" t="s">
        <v>22</v>
      </c>
      <c r="AG2" s="215" t="s">
        <v>19</v>
      </c>
      <c r="AH2" s="215" t="s">
        <v>19</v>
      </c>
      <c r="AI2" s="215" t="s">
        <v>64</v>
      </c>
      <c r="AJ2" s="216" t="s">
        <v>20</v>
      </c>
      <c r="AK2" s="216" t="s">
        <v>21</v>
      </c>
      <c r="AL2" s="216" t="s">
        <v>22</v>
      </c>
      <c r="AM2" s="215" t="s">
        <v>64</v>
      </c>
      <c r="AN2" s="215" t="s">
        <v>20</v>
      </c>
      <c r="AO2" s="215" t="s">
        <v>21</v>
      </c>
      <c r="AP2" s="215" t="s">
        <v>22</v>
      </c>
      <c r="AQ2" s="215" t="s">
        <v>19</v>
      </c>
      <c r="AR2" s="215" t="s">
        <v>19</v>
      </c>
      <c r="AS2" s="215" t="s">
        <v>64</v>
      </c>
      <c r="AT2" s="215" t="s">
        <v>20</v>
      </c>
      <c r="AU2" s="215" t="s">
        <v>21</v>
      </c>
      <c r="AV2" s="215" t="s">
        <v>22</v>
      </c>
      <c r="AW2" s="215" t="s">
        <v>64</v>
      </c>
      <c r="AX2" s="216" t="s">
        <v>20</v>
      </c>
      <c r="AY2" s="216" t="s">
        <v>21</v>
      </c>
      <c r="AZ2" s="216" t="s">
        <v>22</v>
      </c>
      <c r="BA2" s="215" t="s">
        <v>19</v>
      </c>
      <c r="BB2" s="215" t="s">
        <v>19</v>
      </c>
      <c r="BC2" s="215" t="s">
        <v>64</v>
      </c>
      <c r="BD2" s="216" t="s">
        <v>20</v>
      </c>
      <c r="BE2" s="216" t="s">
        <v>21</v>
      </c>
      <c r="BF2" s="216" t="s">
        <v>22</v>
      </c>
      <c r="BG2" s="215" t="s">
        <v>64</v>
      </c>
      <c r="BH2" s="216" t="s">
        <v>20</v>
      </c>
      <c r="BI2" s="216" t="s">
        <v>21</v>
      </c>
      <c r="BJ2" s="216" t="s">
        <v>22</v>
      </c>
      <c r="BK2" s="215" t="s">
        <v>63</v>
      </c>
      <c r="BL2" s="216" t="s">
        <v>147</v>
      </c>
      <c r="BM2" s="217" t="s">
        <v>148</v>
      </c>
    </row>
    <row r="3" spans="1:68" ht="15" customHeight="1" x14ac:dyDescent="0.3">
      <c r="A3" s="187"/>
      <c r="B3" s="188">
        <v>2020</v>
      </c>
      <c r="C3" s="188">
        <v>2020</v>
      </c>
      <c r="D3" s="188">
        <v>2020</v>
      </c>
      <c r="E3" s="188">
        <v>2020</v>
      </c>
      <c r="F3" s="188">
        <v>2020</v>
      </c>
      <c r="G3" s="188">
        <v>2020</v>
      </c>
      <c r="H3" s="188">
        <v>2020</v>
      </c>
      <c r="I3" s="188">
        <v>2020</v>
      </c>
      <c r="J3" s="188">
        <v>2020</v>
      </c>
      <c r="K3" s="188">
        <v>2020</v>
      </c>
      <c r="L3" s="189">
        <v>2020</v>
      </c>
      <c r="M3" s="189">
        <v>2020</v>
      </c>
      <c r="N3" s="189">
        <v>2020</v>
      </c>
      <c r="O3" s="189">
        <v>2020</v>
      </c>
      <c r="P3" s="190">
        <v>2020</v>
      </c>
      <c r="Q3" s="190">
        <v>2020</v>
      </c>
      <c r="R3" s="190">
        <v>2020</v>
      </c>
      <c r="S3" s="190">
        <v>2020</v>
      </c>
      <c r="T3" s="190">
        <v>2020</v>
      </c>
      <c r="U3" s="190">
        <v>2020</v>
      </c>
      <c r="V3" s="190">
        <v>2020</v>
      </c>
      <c r="W3" s="190" t="s">
        <v>130</v>
      </c>
      <c r="X3" s="191">
        <v>2020</v>
      </c>
      <c r="Y3" s="190">
        <v>2020</v>
      </c>
      <c r="Z3" s="190">
        <v>2020</v>
      </c>
      <c r="AA3" s="190">
        <v>2020</v>
      </c>
      <c r="AB3" s="190">
        <v>2020</v>
      </c>
      <c r="AC3" s="190">
        <v>2020</v>
      </c>
      <c r="AD3" s="190">
        <v>2020</v>
      </c>
      <c r="AE3" s="190">
        <v>2020</v>
      </c>
      <c r="AF3" s="190">
        <v>2020</v>
      </c>
      <c r="AG3" s="192" t="s">
        <v>130</v>
      </c>
      <c r="AH3" s="190">
        <v>2020</v>
      </c>
      <c r="AI3" s="190">
        <v>2020</v>
      </c>
      <c r="AJ3" s="190">
        <v>2020</v>
      </c>
      <c r="AK3" s="190">
        <v>2020</v>
      </c>
      <c r="AL3" s="190">
        <v>2020</v>
      </c>
      <c r="AM3" s="190">
        <v>2020</v>
      </c>
      <c r="AN3" s="190">
        <v>2020</v>
      </c>
      <c r="AO3" s="190">
        <v>2020</v>
      </c>
      <c r="AP3" s="190">
        <v>2020</v>
      </c>
      <c r="AQ3" s="192" t="s">
        <v>65</v>
      </c>
      <c r="AR3" s="193">
        <v>2020</v>
      </c>
      <c r="AS3" s="193">
        <v>2020</v>
      </c>
      <c r="AT3" s="193">
        <v>2020</v>
      </c>
      <c r="AU3" s="193">
        <v>2020</v>
      </c>
      <c r="AV3" s="193">
        <v>2020</v>
      </c>
      <c r="AW3" s="190"/>
      <c r="AX3" s="194"/>
      <c r="AY3" s="194"/>
      <c r="AZ3" s="195"/>
      <c r="BA3" s="196">
        <v>2020</v>
      </c>
      <c r="BB3" s="196">
        <v>2020</v>
      </c>
      <c r="BC3" s="196">
        <v>2020</v>
      </c>
      <c r="BD3" s="196">
        <v>2020</v>
      </c>
      <c r="BE3" s="196">
        <v>2020</v>
      </c>
      <c r="BF3" s="196">
        <v>2020</v>
      </c>
      <c r="BG3" s="197">
        <v>2020</v>
      </c>
      <c r="BH3" s="197">
        <v>2020</v>
      </c>
      <c r="BI3" s="197">
        <v>2020</v>
      </c>
      <c r="BJ3" s="197">
        <v>2020</v>
      </c>
      <c r="BK3" s="197">
        <v>2020</v>
      </c>
      <c r="BL3" s="197">
        <v>2020</v>
      </c>
      <c r="BM3" s="198">
        <v>2020</v>
      </c>
    </row>
    <row r="4" spans="1:68" x14ac:dyDescent="0.3">
      <c r="A4" s="126" t="s">
        <v>1</v>
      </c>
      <c r="B4" s="63">
        <f>SUM(C4:E4)</f>
        <v>2359822.1444959929</v>
      </c>
      <c r="C4" s="63">
        <f>'5.1.3 Przeds. niefinansowe'!V5</f>
        <v>2293821.1664821715</v>
      </c>
      <c r="D4" s="63">
        <f>'5.1.3 Przeds. niefinansowe'!W5</f>
        <v>51134.171363295987</v>
      </c>
      <c r="E4" s="63">
        <f>'5.1.3 Przeds. niefinansowe'!X5</f>
        <v>14866.806650525248</v>
      </c>
      <c r="F4" s="199">
        <f>'5.1.3 Plany inwestycyjne'!AB4</f>
        <v>0.7</v>
      </c>
      <c r="G4" s="199">
        <f>Tabela10[[#This Row],[Kolumna25]]</f>
        <v>0.7</v>
      </c>
      <c r="H4" s="199">
        <f>'5.1.3 Plany inwestycyjne'!AC4</f>
        <v>0.79999999999999993</v>
      </c>
      <c r="I4" s="199">
        <f>'5.1.3 Plany inwestycyjne'!AC4</f>
        <v>0.79999999999999993</v>
      </c>
      <c r="J4" s="199">
        <f>'5.1.3 Plany inwestycyjne'!AD4</f>
        <v>0.87</v>
      </c>
      <c r="K4" s="199">
        <f>'5.1.3 Plany inwestycyjne'!AD4</f>
        <v>0.87</v>
      </c>
      <c r="L4" s="68">
        <f>SUM(M4:O4)</f>
        <v>1659516.2754141137</v>
      </c>
      <c r="M4" s="68">
        <f>C4*G$4</f>
        <v>1605674.8165375199</v>
      </c>
      <c r="N4" s="68">
        <f>D4*I$4</f>
        <v>40907.337090636785</v>
      </c>
      <c r="O4" s="68">
        <f>E4*K$4</f>
        <v>12934.121785956966</v>
      </c>
      <c r="P4" s="68">
        <f>SUM(Q4:S4)</f>
        <v>184495095.51672265</v>
      </c>
      <c r="Q4" s="68">
        <f>'5.1.1 Nakłady_razem'!BL2</f>
        <v>70949506.184128791</v>
      </c>
      <c r="R4" s="68">
        <f>'5.1.1 Nakłady_razem'!BM2</f>
        <v>35763959.965381593</v>
      </c>
      <c r="S4" s="68">
        <f>'5.1.1 Nakłady_razem'!BN2</f>
        <v>77781629.367212266</v>
      </c>
      <c r="T4" s="200">
        <f t="shared" ref="T4:T20" si="0">Q4*1000/M4/1000</f>
        <v>44.18672165334474</v>
      </c>
      <c r="U4" s="200">
        <f t="shared" ref="U4:U20" si="1">R4*1000/N4/1000</f>
        <v>874.26761331691637</v>
      </c>
      <c r="V4" s="200">
        <f t="shared" ref="V4:V20" si="2">S4*1000/O4/1000</f>
        <v>6013.6768970014282</v>
      </c>
      <c r="W4" s="199">
        <v>0.18</v>
      </c>
      <c r="X4" s="284">
        <v>0.16</v>
      </c>
      <c r="Y4" s="201">
        <f>SUM(Z4:AB4)</f>
        <v>265522.60406625818</v>
      </c>
      <c r="Z4" s="202">
        <f t="shared" ref="Z4:AF4" si="3">SUM(Z5:Z20)</f>
        <v>256907.9706460032</v>
      </c>
      <c r="AA4" s="201">
        <f t="shared" si="3"/>
        <v>6545.1739345018859</v>
      </c>
      <c r="AB4" s="201">
        <f t="shared" si="3"/>
        <v>2069.4594857531147</v>
      </c>
      <c r="AC4" s="201">
        <f t="shared" si="3"/>
        <v>29519.215282675628</v>
      </c>
      <c r="AD4" s="202">
        <f t="shared" si="3"/>
        <v>11351.920989460608</v>
      </c>
      <c r="AE4" s="201">
        <f t="shared" si="3"/>
        <v>5722.2335944610577</v>
      </c>
      <c r="AF4" s="201">
        <f t="shared" si="3"/>
        <v>12445.06069875396</v>
      </c>
      <c r="AG4" s="199">
        <v>0.15</v>
      </c>
      <c r="AH4" s="284">
        <v>0.18</v>
      </c>
      <c r="AI4" s="201">
        <f>SUM(AJ4:AL4)</f>
        <v>47794.068731926476</v>
      </c>
      <c r="AJ4" s="201">
        <f>SUM(AJ5:AJ20)</f>
        <v>46243.434716280579</v>
      </c>
      <c r="AK4" s="201">
        <f>SUM(AK5:AK20)</f>
        <v>1178.1313082103395</v>
      </c>
      <c r="AL4" s="201">
        <f>SUM(AL5:AL20)</f>
        <v>372.50270743556064</v>
      </c>
      <c r="AM4" s="201">
        <f>SUM(AN4:AP4)</f>
        <v>5313.458750881613</v>
      </c>
      <c r="AN4" s="201">
        <f>SUM(AN5:AN20)</f>
        <v>2043.3457781029092</v>
      </c>
      <c r="AO4" s="201">
        <f>SUM(AO5:AO20)</f>
        <v>1030.0020470029901</v>
      </c>
      <c r="AP4" s="201">
        <f>SUM(AP5:AP20)</f>
        <v>2240.1109257757134</v>
      </c>
      <c r="AQ4" s="199">
        <v>0.43</v>
      </c>
      <c r="AR4" s="284">
        <v>0.43</v>
      </c>
      <c r="AS4" s="201">
        <f>SUM(AT4:AV4)</f>
        <v>20551.44955472838</v>
      </c>
      <c r="AT4" s="202">
        <f>SUM(AT5:AT20)</f>
        <v>19884.676928000645</v>
      </c>
      <c r="AU4" s="201">
        <f>SUM(AU5:AU20)</f>
        <v>506.59646253044593</v>
      </c>
      <c r="AV4" s="201">
        <f>SUM(AV5:AV20)</f>
        <v>160.17616419729106</v>
      </c>
      <c r="AW4" s="201">
        <f>SUM(AX4:AZ4)</f>
        <v>2284.7872628790933</v>
      </c>
      <c r="AX4" s="202">
        <f t="shared" ref="AX4:AZ4" si="4">SUM(AX5:AX20)</f>
        <v>878.638684584251</v>
      </c>
      <c r="AY4" s="201">
        <f t="shared" si="4"/>
        <v>442.90088021128577</v>
      </c>
      <c r="AZ4" s="201">
        <f t="shared" si="4"/>
        <v>963.24769808355666</v>
      </c>
      <c r="BA4" s="284">
        <v>0.8</v>
      </c>
      <c r="BB4" s="203">
        <v>1.5</v>
      </c>
      <c r="BC4" s="201">
        <f>SUM(BD4:BF4)</f>
        <v>1218.5532068688499</v>
      </c>
      <c r="BD4" s="202">
        <f>SUM(BD5:BD20)</f>
        <v>468.60729844493392</v>
      </c>
      <c r="BE4" s="201">
        <f>SUM(BE5:BE20)</f>
        <v>236.21380277935242</v>
      </c>
      <c r="BF4" s="201">
        <f>SUM(BF5:BF20)</f>
        <v>513.7321056445636</v>
      </c>
      <c r="BG4" s="201">
        <f>SUM(BH4:BJ4)</f>
        <v>4094.9055440127627</v>
      </c>
      <c r="BH4" s="202">
        <f>SUM(BH5:BH20)</f>
        <v>1574.7384796579756</v>
      </c>
      <c r="BI4" s="201">
        <f>SUM(BI5:BI20)</f>
        <v>793.78824422363778</v>
      </c>
      <c r="BJ4" s="201">
        <f>SUM(BJ5:BJ20)</f>
        <v>1726.3788201311495</v>
      </c>
      <c r="BK4" s="201">
        <f>SUM(BL4:BM4)</f>
        <v>5313.458750881613</v>
      </c>
      <c r="BL4" s="202">
        <f>BG4</f>
        <v>4094.9055440127627</v>
      </c>
      <c r="BM4" s="204">
        <f t="shared" ref="BM4:BM20" si="5">BC4</f>
        <v>1218.5532068688499</v>
      </c>
      <c r="BN4" s="20"/>
      <c r="BO4" s="10"/>
      <c r="BP4" s="9"/>
    </row>
    <row r="5" spans="1:68" x14ac:dyDescent="0.3">
      <c r="A5" s="126" t="s">
        <v>2</v>
      </c>
      <c r="B5" s="63">
        <f t="shared" ref="B5:B20" si="6">SUM(C5:E5)</f>
        <v>191611.2839820529</v>
      </c>
      <c r="C5" s="63">
        <f>'5.1.3 Przeds. niefinansowe'!V6</f>
        <v>186760.1267493543</v>
      </c>
      <c r="D5" s="63">
        <f>'5.1.3 Przeds. niefinansowe'!W6</f>
        <v>3757.4438525190267</v>
      </c>
      <c r="E5" s="63">
        <f>'5.1.3 Przeds. niefinansowe'!X6</f>
        <v>1093.7133801795619</v>
      </c>
      <c r="F5" s="199">
        <f t="shared" ref="F5:K5" si="7">F4</f>
        <v>0.7</v>
      </c>
      <c r="G5" s="199">
        <f t="shared" si="7"/>
        <v>0.7</v>
      </c>
      <c r="H5" s="199">
        <f t="shared" si="7"/>
        <v>0.79999999999999993</v>
      </c>
      <c r="I5" s="205">
        <f t="shared" si="7"/>
        <v>0.79999999999999993</v>
      </c>
      <c r="J5" s="205">
        <f t="shared" si="7"/>
        <v>0.87</v>
      </c>
      <c r="K5" s="205">
        <f t="shared" si="7"/>
        <v>0.87</v>
      </c>
      <c r="L5" s="68">
        <f t="shared" ref="L5:L20" si="8">SUM(M5:O5)</f>
        <v>134689.57444731944</v>
      </c>
      <c r="M5" s="68">
        <f t="shared" ref="M5:M20" si="9">C5*G$4</f>
        <v>130732.088724548</v>
      </c>
      <c r="N5" s="68">
        <f t="shared" ref="N5:N20" si="10">D5*I$4</f>
        <v>3005.9550820152213</v>
      </c>
      <c r="O5" s="68">
        <f t="shared" ref="O5:O20" si="11">E5*K$4</f>
        <v>951.53064075621887</v>
      </c>
      <c r="P5" s="68">
        <f t="shared" ref="P5:P20" si="12">SUM(Q5:S5)</f>
        <v>14469626.806918666</v>
      </c>
      <c r="Q5" s="68">
        <f>'5.1.1 Nakłady_razem'!BL3</f>
        <v>4663908.1406746665</v>
      </c>
      <c r="R5" s="68">
        <f>'5.1.1 Nakłady_razem'!BM3</f>
        <v>2833680.276972</v>
      </c>
      <c r="S5" s="68">
        <f>'5.1.1 Nakłady_razem'!BN3</f>
        <v>6972038.3892719997</v>
      </c>
      <c r="T5" s="200">
        <f t="shared" si="0"/>
        <v>35.67531266559584</v>
      </c>
      <c r="U5" s="200">
        <f t="shared" si="1"/>
        <v>942.68882922637476</v>
      </c>
      <c r="V5" s="200">
        <f t="shared" si="2"/>
        <v>7327.1822163614679</v>
      </c>
      <c r="W5" s="199">
        <v>0.18</v>
      </c>
      <c r="X5" s="199">
        <v>0.16</v>
      </c>
      <c r="Y5" s="69">
        <f t="shared" ref="Y5:Y20" si="13">SUM(Z5:AB5)</f>
        <v>21550.331911571109</v>
      </c>
      <c r="Z5" s="68">
        <f t="shared" ref="Z5:Z20" si="14">M5*X$4</f>
        <v>20917.13419592768</v>
      </c>
      <c r="AA5" s="69">
        <f t="shared" ref="AA5:AA20" si="15">N5*X$4</f>
        <v>480.95281312243543</v>
      </c>
      <c r="AB5" s="69">
        <f t="shared" ref="AB5:AB20" si="16">O5*X$4</f>
        <v>152.24490252099503</v>
      </c>
      <c r="AC5" s="201">
        <f t="shared" ref="AC5:AC20" si="17">SUM(AD5:AF5)</f>
        <v>2315.1402891069865</v>
      </c>
      <c r="AD5" s="202">
        <f>T5*Z5/1000</f>
        <v>746.22530250794659</v>
      </c>
      <c r="AE5" s="201">
        <f>U5*AA5/1000</f>
        <v>453.38884431552009</v>
      </c>
      <c r="AF5" s="201">
        <f>V5*AB5/1000</f>
        <v>1115.5261422835199</v>
      </c>
      <c r="AG5" s="199">
        <v>0.15</v>
      </c>
      <c r="AH5" s="199">
        <v>0.18</v>
      </c>
      <c r="AI5" s="201">
        <f t="shared" ref="AI5:AI20" si="18">SUM(AJ5:AL5)</f>
        <v>3879.0597440827996</v>
      </c>
      <c r="AJ5" s="201">
        <f>Z5*AH$4</f>
        <v>3765.0841552669822</v>
      </c>
      <c r="AK5" s="201">
        <f>AA5*AH$4</f>
        <v>86.571506362038377</v>
      </c>
      <c r="AL5" s="201">
        <f>AB5*AH$4</f>
        <v>27.404082453779104</v>
      </c>
      <c r="AM5" s="201">
        <f t="shared" ref="AM5:AM20" si="19">SUM(AN5:AP5)</f>
        <v>416.72525203925761</v>
      </c>
      <c r="AN5" s="201">
        <f>AJ5*T5/1000</f>
        <v>134.32055445143038</v>
      </c>
      <c r="AO5" s="201">
        <f>AK5*U5/1000</f>
        <v>81.609991976793609</v>
      </c>
      <c r="AP5" s="201">
        <f>AL5*V5/1000</f>
        <v>200.79470561103361</v>
      </c>
      <c r="AQ5" s="199">
        <v>0.43</v>
      </c>
      <c r="AR5" s="199">
        <v>0.43</v>
      </c>
      <c r="AS5" s="201">
        <f t="shared" ref="AS5:AS20" si="20">SUM(AT5:AV5)</f>
        <v>1667.9956899556039</v>
      </c>
      <c r="AT5" s="202">
        <f>AJ5*AR$4</f>
        <v>1618.9861867648024</v>
      </c>
      <c r="AU5" s="201">
        <f>AK5*AR$4</f>
        <v>37.225747735676499</v>
      </c>
      <c r="AV5" s="201">
        <f>AL5*AR$4</f>
        <v>11.783755455125014</v>
      </c>
      <c r="AW5" s="201">
        <f t="shared" ref="AW5:AW20" si="21">SUM(AX5:AZ5)</f>
        <v>179.19185837688076</v>
      </c>
      <c r="AX5" s="202">
        <f>AT5*T5/1000</f>
        <v>57.757838414115071</v>
      </c>
      <c r="AY5" s="201">
        <f>AU5*U5/1000</f>
        <v>35.092296550021253</v>
      </c>
      <c r="AZ5" s="201">
        <f>AV5*V5/1000</f>
        <v>86.341723412744443</v>
      </c>
      <c r="BA5" s="199">
        <v>0.8</v>
      </c>
      <c r="BB5" s="203">
        <v>1.5</v>
      </c>
      <c r="BC5" s="201">
        <f>SUM(BD5:BF5)</f>
        <v>95.568991134336414</v>
      </c>
      <c r="BD5" s="202">
        <f>(AX5*BA$4)/BB$4</f>
        <v>30.80418048752804</v>
      </c>
      <c r="BE5" s="201">
        <f>(AY5*BA$4)/BB$4</f>
        <v>18.715891493344667</v>
      </c>
      <c r="BF5" s="201">
        <f>(AZ5*BA$4)/BB$4</f>
        <v>46.048919153463707</v>
      </c>
      <c r="BG5" s="201">
        <f>SUM(BH5:BJ5)</f>
        <v>321.15626090492117</v>
      </c>
      <c r="BH5" s="202">
        <f>AN5-BD5</f>
        <v>103.51637396390234</v>
      </c>
      <c r="BI5" s="201">
        <f>AO5-BE5</f>
        <v>62.894100483448938</v>
      </c>
      <c r="BJ5" s="201">
        <f>AP5-BF5</f>
        <v>154.74578645756989</v>
      </c>
      <c r="BK5" s="201">
        <f t="shared" ref="BK5:BK20" si="22">SUM(BL5:BM5)</f>
        <v>416.72525203925761</v>
      </c>
      <c r="BL5" s="202">
        <f t="shared" ref="BL5:BL20" si="23">BG5</f>
        <v>321.15626090492117</v>
      </c>
      <c r="BM5" s="204">
        <f t="shared" si="5"/>
        <v>95.568991134336414</v>
      </c>
      <c r="BN5" s="10"/>
      <c r="BO5" s="10"/>
      <c r="BP5" s="9"/>
    </row>
    <row r="6" spans="1:68" x14ac:dyDescent="0.3">
      <c r="A6" s="126" t="s">
        <v>3</v>
      </c>
      <c r="B6" s="63">
        <f t="shared" si="6"/>
        <v>106495.11952598924</v>
      </c>
      <c r="C6" s="63">
        <f>'5.1.3 Przeds. niefinansowe'!V7</f>
        <v>103167.04431557113</v>
      </c>
      <c r="D6" s="63">
        <f>'5.1.3 Przeds. niefinansowe'!W7</f>
        <v>2583.8467180515549</v>
      </c>
      <c r="E6" s="63">
        <f>'5.1.3 Przeds. niefinansowe'!X7</f>
        <v>744.22849236655816</v>
      </c>
      <c r="F6" s="199">
        <f t="shared" ref="F6:F20" si="24">F5</f>
        <v>0.7</v>
      </c>
      <c r="G6" s="199">
        <f t="shared" ref="G6:G20" si="25">G5</f>
        <v>0.7</v>
      </c>
      <c r="H6" s="199">
        <f t="shared" ref="H6:H20" si="26">H5</f>
        <v>0.79999999999999993</v>
      </c>
      <c r="I6" s="205">
        <f t="shared" ref="I6:I20" si="27">I5</f>
        <v>0.79999999999999993</v>
      </c>
      <c r="J6" s="205">
        <f t="shared" ref="J6:J20" si="28">J5</f>
        <v>0.87</v>
      </c>
      <c r="K6" s="205">
        <f t="shared" ref="K6:K20" si="29">K5</f>
        <v>0.87</v>
      </c>
      <c r="L6" s="68">
        <f t="shared" si="8"/>
        <v>74931.487183699923</v>
      </c>
      <c r="M6" s="68">
        <f t="shared" si="9"/>
        <v>72216.931020899778</v>
      </c>
      <c r="N6" s="68">
        <f t="shared" si="10"/>
        <v>2067.0773744412436</v>
      </c>
      <c r="O6" s="68">
        <f t="shared" si="11"/>
        <v>647.4787883589056</v>
      </c>
      <c r="P6" s="68">
        <f t="shared" si="12"/>
        <v>7498732.0911279991</v>
      </c>
      <c r="Q6" s="68">
        <f>'5.1.1 Nakłady_razem'!BL4</f>
        <v>2298001.6410789331</v>
      </c>
      <c r="R6" s="68">
        <f>'5.1.1 Nakłady_razem'!BM4</f>
        <v>2034717.5084952</v>
      </c>
      <c r="S6" s="68">
        <f>'5.1.1 Nakłady_razem'!BN4</f>
        <v>3166012.9415538665</v>
      </c>
      <c r="T6" s="200">
        <f t="shared" si="0"/>
        <v>31.820815542741428</v>
      </c>
      <c r="U6" s="200">
        <f t="shared" si="1"/>
        <v>984.34511143793486</v>
      </c>
      <c r="V6" s="200">
        <f t="shared" si="2"/>
        <v>4889.755461454446</v>
      </c>
      <c r="W6" s="199">
        <v>0.18</v>
      </c>
      <c r="X6" s="199">
        <v>0.16</v>
      </c>
      <c r="Y6" s="69">
        <f t="shared" si="13"/>
        <v>11989.03794939199</v>
      </c>
      <c r="Z6" s="68">
        <f t="shared" si="14"/>
        <v>11554.708963343965</v>
      </c>
      <c r="AA6" s="69">
        <f t="shared" si="15"/>
        <v>330.73237991059898</v>
      </c>
      <c r="AB6" s="69">
        <f t="shared" si="16"/>
        <v>103.5966061374249</v>
      </c>
      <c r="AC6" s="201">
        <f t="shared" si="17"/>
        <v>1199.7971345804799</v>
      </c>
      <c r="AD6" s="202">
        <f t="shared" ref="AD6:AD20" si="30">T6*Z6/1000</f>
        <v>367.68026257262932</v>
      </c>
      <c r="AE6" s="201">
        <f t="shared" ref="AE6:AE20" si="31">U6*AA6/1000</f>
        <v>325.55480135923193</v>
      </c>
      <c r="AF6" s="201">
        <f t="shared" ref="AF6:AF20" si="32">V6*AB6/1000</f>
        <v>506.56207064861854</v>
      </c>
      <c r="AG6" s="199">
        <v>0.15</v>
      </c>
      <c r="AH6" s="199">
        <v>0.18</v>
      </c>
      <c r="AI6" s="201">
        <f t="shared" si="18"/>
        <v>2158.0268308905579</v>
      </c>
      <c r="AJ6" s="201">
        <f t="shared" ref="AJ6:AJ20" si="33">Z6*AH$4</f>
        <v>2079.8476134019133</v>
      </c>
      <c r="AK6" s="201">
        <f t="shared" ref="AK6:AK20" si="34">AA6*AH$4</f>
        <v>59.531828383907815</v>
      </c>
      <c r="AL6" s="201">
        <f t="shared" ref="AL6:AL20" si="35">AB6*AH$4</f>
        <v>18.647389104736479</v>
      </c>
      <c r="AM6" s="201">
        <f t="shared" si="19"/>
        <v>215.96348422448636</v>
      </c>
      <c r="AN6" s="201">
        <f t="shared" ref="AN6:AN20" si="36">AJ6*T6/1000</f>
        <v>66.182447263073257</v>
      </c>
      <c r="AO6" s="201">
        <f t="shared" ref="AO6:AO20" si="37">AK6*U6/1000</f>
        <v>58.599864244661752</v>
      </c>
      <c r="AP6" s="201">
        <f t="shared" ref="AP6:AP20" si="38">AL6*V6/1000</f>
        <v>91.181172716751334</v>
      </c>
      <c r="AQ6" s="199">
        <v>0.43</v>
      </c>
      <c r="AR6" s="199">
        <v>0.43</v>
      </c>
      <c r="AS6" s="201">
        <f t="shared" si="20"/>
        <v>927.95153728293985</v>
      </c>
      <c r="AT6" s="202">
        <f t="shared" ref="AT6:AT20" si="39">AJ6*AR$4</f>
        <v>894.33447376282277</v>
      </c>
      <c r="AU6" s="201">
        <f t="shared" ref="AU6:AU20" si="40">AK6*AR$4</f>
        <v>25.598686205080359</v>
      </c>
      <c r="AV6" s="201">
        <f t="shared" ref="AV6:AV20" si="41">AL6*AR$4</f>
        <v>8.0183773150366857</v>
      </c>
      <c r="AW6" s="201">
        <f t="shared" si="21"/>
        <v>92.864298216529136</v>
      </c>
      <c r="AX6" s="202">
        <f t="shared" ref="AX6:AX20" si="42">AT6*T6/1000</f>
        <v>28.458452323121506</v>
      </c>
      <c r="AY6" s="201">
        <f t="shared" ref="AY6:AY20" si="43">AU6*U6/1000</f>
        <v>25.197941625204553</v>
      </c>
      <c r="AZ6" s="201">
        <f t="shared" ref="AZ6:AZ20" si="44">AV6*V6/1000</f>
        <v>39.207904268203073</v>
      </c>
      <c r="BA6" s="199">
        <v>0.8</v>
      </c>
      <c r="BB6" s="203">
        <v>1.5</v>
      </c>
      <c r="BC6" s="201">
        <f t="shared" ref="BC6:BC20" si="45">SUM(BD6:BF6)</f>
        <v>49.527625715482202</v>
      </c>
      <c r="BD6" s="202">
        <f t="shared" ref="BD6:BD20" si="46">(AX6*BA$4)/BB$4</f>
        <v>15.177841238998136</v>
      </c>
      <c r="BE6" s="201">
        <f t="shared" ref="BE6:BE20" si="47">(AY6*BA$4)/BB$4</f>
        <v>13.438902200109096</v>
      </c>
      <c r="BF6" s="201">
        <f t="shared" ref="BF6:BF20" si="48">(AZ6*BA$4)/BB$4</f>
        <v>20.910882276374974</v>
      </c>
      <c r="BG6" s="201">
        <f t="shared" ref="BG6:BG20" si="49">SUM(BH6:BJ6)</f>
        <v>166.43585850900413</v>
      </c>
      <c r="BH6" s="202">
        <f t="shared" ref="BH6:BH20" si="50">AN6-BD6</f>
        <v>51.004606024075123</v>
      </c>
      <c r="BI6" s="201">
        <f t="shared" ref="BI6:BI20" si="51">AO6-BE6</f>
        <v>45.160962044552655</v>
      </c>
      <c r="BJ6" s="201">
        <f t="shared" ref="BJ6:BJ20" si="52">AP6-BF6</f>
        <v>70.270290440376357</v>
      </c>
      <c r="BK6" s="201">
        <f t="shared" si="22"/>
        <v>215.96348422448634</v>
      </c>
      <c r="BL6" s="202">
        <f t="shared" si="23"/>
        <v>166.43585850900413</v>
      </c>
      <c r="BM6" s="204">
        <f t="shared" si="5"/>
        <v>49.527625715482202</v>
      </c>
      <c r="BN6" s="10"/>
      <c r="BO6" s="10"/>
      <c r="BP6" s="9"/>
    </row>
    <row r="7" spans="1:68" x14ac:dyDescent="0.3">
      <c r="A7" s="126" t="s">
        <v>4</v>
      </c>
      <c r="B7" s="63">
        <f t="shared" si="6"/>
        <v>98269.599115190867</v>
      </c>
      <c r="C7" s="63">
        <f>'5.1.3 Przeds. niefinansowe'!V8</f>
        <v>95687.426974064714</v>
      </c>
      <c r="D7" s="63">
        <f>'5.1.3 Przeds. niefinansowe'!W8</f>
        <v>2072.5675955071056</v>
      </c>
      <c r="E7" s="63">
        <f>'5.1.3 Przeds. niefinansowe'!X8</f>
        <v>509.60454561904635</v>
      </c>
      <c r="F7" s="199">
        <f t="shared" si="24"/>
        <v>0.7</v>
      </c>
      <c r="G7" s="199">
        <f t="shared" si="25"/>
        <v>0.7</v>
      </c>
      <c r="H7" s="199">
        <f t="shared" si="26"/>
        <v>0.79999999999999993</v>
      </c>
      <c r="I7" s="205">
        <f t="shared" si="27"/>
        <v>0.79999999999999993</v>
      </c>
      <c r="J7" s="205">
        <f t="shared" si="28"/>
        <v>0.87</v>
      </c>
      <c r="K7" s="205">
        <f t="shared" si="29"/>
        <v>0.87</v>
      </c>
      <c r="L7" s="68">
        <f t="shared" si="8"/>
        <v>69082.60891293954</v>
      </c>
      <c r="M7" s="68">
        <f t="shared" si="9"/>
        <v>66981.198881845296</v>
      </c>
      <c r="N7" s="68">
        <f t="shared" si="10"/>
        <v>1658.0540764056843</v>
      </c>
      <c r="O7" s="68">
        <f t="shared" si="11"/>
        <v>443.35595468857031</v>
      </c>
      <c r="P7" s="68">
        <f t="shared" si="12"/>
        <v>5415523.004313333</v>
      </c>
      <c r="Q7" s="68">
        <f>'5.1.1 Nakłady_razem'!BL5</f>
        <v>2010357.8348821332</v>
      </c>
      <c r="R7" s="68">
        <f>'5.1.1 Nakłady_razem'!BM5</f>
        <v>1316876.6465069335</v>
      </c>
      <c r="S7" s="68">
        <f>'5.1.1 Nakłady_razem'!BN5</f>
        <v>2088288.5229242668</v>
      </c>
      <c r="T7" s="200">
        <f t="shared" si="0"/>
        <v>30.013763092362687</v>
      </c>
      <c r="U7" s="200">
        <f t="shared" si="1"/>
        <v>794.23021555584455</v>
      </c>
      <c r="V7" s="200">
        <f t="shared" si="2"/>
        <v>4710.1848996054605</v>
      </c>
      <c r="W7" s="199">
        <v>0.18</v>
      </c>
      <c r="X7" s="199">
        <v>0.16</v>
      </c>
      <c r="Y7" s="69">
        <f t="shared" si="13"/>
        <v>11053.217426070329</v>
      </c>
      <c r="Z7" s="68">
        <f t="shared" si="14"/>
        <v>10716.991821095247</v>
      </c>
      <c r="AA7" s="69">
        <f t="shared" si="15"/>
        <v>265.28865222490947</v>
      </c>
      <c r="AB7" s="69">
        <f t="shared" si="16"/>
        <v>70.936952750171244</v>
      </c>
      <c r="AC7" s="201">
        <f t="shared" si="17"/>
        <v>866.48368069013327</v>
      </c>
      <c r="AD7" s="202">
        <f t="shared" si="30"/>
        <v>321.65725358114128</v>
      </c>
      <c r="AE7" s="201">
        <f t="shared" si="31"/>
        <v>210.70026344110934</v>
      </c>
      <c r="AF7" s="201">
        <f t="shared" si="32"/>
        <v>334.12616366788262</v>
      </c>
      <c r="AG7" s="199">
        <v>0.15</v>
      </c>
      <c r="AH7" s="199">
        <v>0.18</v>
      </c>
      <c r="AI7" s="201">
        <f t="shared" si="18"/>
        <v>1989.5791366926589</v>
      </c>
      <c r="AJ7" s="201">
        <f t="shared" si="33"/>
        <v>1929.0585277971445</v>
      </c>
      <c r="AK7" s="201">
        <f t="shared" si="34"/>
        <v>47.751957400483704</v>
      </c>
      <c r="AL7" s="201">
        <f t="shared" si="35"/>
        <v>12.768651495030824</v>
      </c>
      <c r="AM7" s="201">
        <f t="shared" si="19"/>
        <v>155.96706252422399</v>
      </c>
      <c r="AN7" s="201">
        <f t="shared" si="36"/>
        <v>57.898305644605436</v>
      </c>
      <c r="AO7" s="201">
        <f t="shared" si="37"/>
        <v>37.92604741939968</v>
      </c>
      <c r="AP7" s="201">
        <f t="shared" si="38"/>
        <v>60.142709460218875</v>
      </c>
      <c r="AQ7" s="199">
        <v>0.43</v>
      </c>
      <c r="AR7" s="199">
        <v>0.43</v>
      </c>
      <c r="AS7" s="201">
        <f t="shared" si="20"/>
        <v>855.51902877784335</v>
      </c>
      <c r="AT7" s="202">
        <f t="shared" si="39"/>
        <v>829.49516695277214</v>
      </c>
      <c r="AU7" s="201">
        <f t="shared" si="40"/>
        <v>20.533341682207993</v>
      </c>
      <c r="AV7" s="201">
        <f t="shared" si="41"/>
        <v>5.4905201428632537</v>
      </c>
      <c r="AW7" s="201">
        <f t="shared" si="21"/>
        <v>67.065836885416317</v>
      </c>
      <c r="AX7" s="202">
        <f t="shared" si="42"/>
        <v>24.896271427180338</v>
      </c>
      <c r="AY7" s="201">
        <f t="shared" si="43"/>
        <v>16.308200390341863</v>
      </c>
      <c r="AZ7" s="201">
        <f t="shared" si="44"/>
        <v>25.861365067894113</v>
      </c>
      <c r="BA7" s="199">
        <v>0.8</v>
      </c>
      <c r="BB7" s="203">
        <v>1.5</v>
      </c>
      <c r="BC7" s="201">
        <f t="shared" si="45"/>
        <v>35.768446338888701</v>
      </c>
      <c r="BD7" s="202">
        <f t="shared" si="46"/>
        <v>13.278011427829513</v>
      </c>
      <c r="BE7" s="201">
        <f t="shared" si="47"/>
        <v>8.6977068748489952</v>
      </c>
      <c r="BF7" s="201">
        <f t="shared" si="48"/>
        <v>13.792728036210194</v>
      </c>
      <c r="BG7" s="201">
        <f t="shared" si="49"/>
        <v>120.19861618533528</v>
      </c>
      <c r="BH7" s="202">
        <f t="shared" si="50"/>
        <v>44.620294216775925</v>
      </c>
      <c r="BI7" s="201">
        <f t="shared" si="51"/>
        <v>29.228340544550683</v>
      </c>
      <c r="BJ7" s="201">
        <f t="shared" si="52"/>
        <v>46.349981424008682</v>
      </c>
      <c r="BK7" s="201">
        <f t="shared" si="22"/>
        <v>155.96706252422399</v>
      </c>
      <c r="BL7" s="202">
        <f t="shared" si="23"/>
        <v>120.19861618533528</v>
      </c>
      <c r="BM7" s="204">
        <f t="shared" si="5"/>
        <v>35.768446338888701</v>
      </c>
      <c r="BN7" s="10"/>
      <c r="BO7" s="10"/>
      <c r="BP7" s="9"/>
    </row>
    <row r="8" spans="1:68" x14ac:dyDescent="0.3">
      <c r="A8" s="126" t="s">
        <v>5</v>
      </c>
      <c r="B8" s="63">
        <f t="shared" si="6"/>
        <v>56630.097527472535</v>
      </c>
      <c r="C8" s="63">
        <f>'5.1.3 Przeds. niefinansowe'!V9</f>
        <v>54996.55039043435</v>
      </c>
      <c r="D8" s="63">
        <f>'5.1.3 Przeds. niefinansowe'!W9</f>
        <v>1239.9372105925909</v>
      </c>
      <c r="E8" s="63">
        <f>'5.1.3 Przeds. niefinansowe'!X9</f>
        <v>393.6099264455932</v>
      </c>
      <c r="F8" s="199">
        <f t="shared" si="24"/>
        <v>0.7</v>
      </c>
      <c r="G8" s="199">
        <f t="shared" si="25"/>
        <v>0.7</v>
      </c>
      <c r="H8" s="199">
        <f t="shared" si="26"/>
        <v>0.79999999999999993</v>
      </c>
      <c r="I8" s="205">
        <f t="shared" si="27"/>
        <v>0.79999999999999993</v>
      </c>
      <c r="J8" s="205">
        <f t="shared" si="28"/>
        <v>0.87</v>
      </c>
      <c r="K8" s="205">
        <f t="shared" si="29"/>
        <v>0.87</v>
      </c>
      <c r="L8" s="68">
        <f t="shared" si="8"/>
        <v>39831.975677785784</v>
      </c>
      <c r="M8" s="68">
        <f t="shared" si="9"/>
        <v>38497.585273304045</v>
      </c>
      <c r="N8" s="68">
        <f t="shared" si="10"/>
        <v>991.94976847407258</v>
      </c>
      <c r="O8" s="68">
        <f t="shared" si="11"/>
        <v>342.44063600766606</v>
      </c>
      <c r="P8" s="68">
        <f t="shared" si="12"/>
        <v>3557542.6458853334</v>
      </c>
      <c r="Q8" s="68">
        <f>'5.1.1 Nakłady_razem'!BL6</f>
        <v>948495.36237893347</v>
      </c>
      <c r="R8" s="68">
        <f>'5.1.1 Nakłady_razem'!BM6</f>
        <v>783782.50259120006</v>
      </c>
      <c r="S8" s="68">
        <f>'5.1.1 Nakłady_razem'!BN6</f>
        <v>1825264.7809151998</v>
      </c>
      <c r="T8" s="200">
        <f t="shared" si="0"/>
        <v>24.637788465051152</v>
      </c>
      <c r="U8" s="200">
        <f t="shared" si="1"/>
        <v>790.14333941213727</v>
      </c>
      <c r="V8" s="200">
        <f t="shared" si="2"/>
        <v>5330.1640897382822</v>
      </c>
      <c r="W8" s="199">
        <v>0.18</v>
      </c>
      <c r="X8" s="199">
        <v>0.16</v>
      </c>
      <c r="Y8" s="69">
        <f t="shared" si="13"/>
        <v>6373.1161084457262</v>
      </c>
      <c r="Z8" s="68">
        <f t="shared" si="14"/>
        <v>6159.6136437286477</v>
      </c>
      <c r="AA8" s="69">
        <f t="shared" si="15"/>
        <v>158.71196295585162</v>
      </c>
      <c r="AB8" s="69">
        <f t="shared" si="16"/>
        <v>54.790501761226572</v>
      </c>
      <c r="AC8" s="201">
        <f t="shared" si="17"/>
        <v>569.20682334165349</v>
      </c>
      <c r="AD8" s="202">
        <f t="shared" si="30"/>
        <v>151.75925798062937</v>
      </c>
      <c r="AE8" s="201">
        <f t="shared" si="31"/>
        <v>125.40520041459202</v>
      </c>
      <c r="AF8" s="201">
        <f t="shared" si="32"/>
        <v>292.04236494643203</v>
      </c>
      <c r="AG8" s="199">
        <v>0.15</v>
      </c>
      <c r="AH8" s="199">
        <v>0.18</v>
      </c>
      <c r="AI8" s="201">
        <f t="shared" si="18"/>
        <v>1147.1608995202305</v>
      </c>
      <c r="AJ8" s="201">
        <f t="shared" si="33"/>
        <v>1108.7304558711564</v>
      </c>
      <c r="AK8" s="201">
        <f t="shared" si="34"/>
        <v>28.568153332053289</v>
      </c>
      <c r="AL8" s="201">
        <f t="shared" si="35"/>
        <v>9.8622903170207827</v>
      </c>
      <c r="AM8" s="201">
        <f t="shared" si="19"/>
        <v>102.4572282014976</v>
      </c>
      <c r="AN8" s="201">
        <f t="shared" si="36"/>
        <v>27.31666643651328</v>
      </c>
      <c r="AO8" s="201">
        <f t="shared" si="37"/>
        <v>22.572936074626561</v>
      </c>
      <c r="AP8" s="201">
        <f t="shared" si="38"/>
        <v>52.567625690357751</v>
      </c>
      <c r="AQ8" s="199">
        <v>0.43</v>
      </c>
      <c r="AR8" s="199">
        <v>0.43</v>
      </c>
      <c r="AS8" s="201">
        <f t="shared" si="20"/>
        <v>493.27918679369913</v>
      </c>
      <c r="AT8" s="202">
        <f t="shared" si="39"/>
        <v>476.75409602459729</v>
      </c>
      <c r="AU8" s="201">
        <f t="shared" si="40"/>
        <v>12.284305932782914</v>
      </c>
      <c r="AV8" s="201">
        <f t="shared" si="41"/>
        <v>4.2407848363189364</v>
      </c>
      <c r="AW8" s="201">
        <f t="shared" si="21"/>
        <v>44.056608126643965</v>
      </c>
      <c r="AX8" s="202">
        <f t="shared" si="42"/>
        <v>11.746166567700714</v>
      </c>
      <c r="AY8" s="201">
        <f t="shared" si="43"/>
        <v>9.7063625120894219</v>
      </c>
      <c r="AZ8" s="201">
        <f t="shared" si="44"/>
        <v>22.604079046853833</v>
      </c>
      <c r="BA8" s="199">
        <v>0.8</v>
      </c>
      <c r="BB8" s="203">
        <v>1.5</v>
      </c>
      <c r="BC8" s="201">
        <f t="shared" si="45"/>
        <v>23.496857667543452</v>
      </c>
      <c r="BD8" s="202">
        <f t="shared" si="46"/>
        <v>6.2646221694403801</v>
      </c>
      <c r="BE8" s="201">
        <f t="shared" si="47"/>
        <v>5.1767266731143584</v>
      </c>
      <c r="BF8" s="201">
        <f t="shared" si="48"/>
        <v>12.055508824988712</v>
      </c>
      <c r="BG8" s="201">
        <f t="shared" si="49"/>
        <v>78.960370533954148</v>
      </c>
      <c r="BH8" s="202">
        <f t="shared" si="50"/>
        <v>21.052044267072901</v>
      </c>
      <c r="BI8" s="201">
        <f t="shared" si="51"/>
        <v>17.396209401512202</v>
      </c>
      <c r="BJ8" s="201">
        <f t="shared" si="52"/>
        <v>40.512116865369038</v>
      </c>
      <c r="BK8" s="201">
        <f t="shared" si="22"/>
        <v>102.4572282014976</v>
      </c>
      <c r="BL8" s="202">
        <f t="shared" si="23"/>
        <v>78.960370533954148</v>
      </c>
      <c r="BM8" s="204">
        <f t="shared" si="5"/>
        <v>23.496857667543452</v>
      </c>
      <c r="BN8" s="10"/>
      <c r="BO8" s="10"/>
      <c r="BP8" s="9"/>
    </row>
    <row r="9" spans="1:68" x14ac:dyDescent="0.3">
      <c r="A9" s="126" t="s">
        <v>6</v>
      </c>
      <c r="B9" s="63">
        <f t="shared" si="6"/>
        <v>139055.26767954646</v>
      </c>
      <c r="C9" s="63">
        <f>'5.1.3 Przeds. niefinansowe'!V10</f>
        <v>135043.33143364365</v>
      </c>
      <c r="D9" s="63">
        <f>'5.1.3 Przeds. niefinansowe'!W10</f>
        <v>3120.9749515193162</v>
      </c>
      <c r="E9" s="63">
        <f>'5.1.3 Przeds. niefinansowe'!X10</f>
        <v>890.96129438349681</v>
      </c>
      <c r="F9" s="199">
        <f t="shared" si="24"/>
        <v>0.7</v>
      </c>
      <c r="G9" s="199">
        <f t="shared" si="25"/>
        <v>0.7</v>
      </c>
      <c r="H9" s="199">
        <f t="shared" si="26"/>
        <v>0.79999999999999993</v>
      </c>
      <c r="I9" s="205">
        <f t="shared" si="27"/>
        <v>0.79999999999999993</v>
      </c>
      <c r="J9" s="205">
        <f t="shared" si="28"/>
        <v>0.87</v>
      </c>
      <c r="K9" s="205">
        <f t="shared" si="29"/>
        <v>0.87</v>
      </c>
      <c r="L9" s="68">
        <f t="shared" si="8"/>
        <v>97802.248290879637</v>
      </c>
      <c r="M9" s="68">
        <f t="shared" si="9"/>
        <v>94530.332003550546</v>
      </c>
      <c r="N9" s="68">
        <f t="shared" si="10"/>
        <v>2496.7799612154527</v>
      </c>
      <c r="O9" s="68">
        <f t="shared" si="11"/>
        <v>775.13632611364221</v>
      </c>
      <c r="P9" s="68">
        <f t="shared" si="12"/>
        <v>8358459.3768733339</v>
      </c>
      <c r="Q9" s="68">
        <f>'5.1.1 Nakłady_razem'!BL7</f>
        <v>2668440.3056640001</v>
      </c>
      <c r="R9" s="68">
        <f>'5.1.1 Nakłady_razem'!BM7</f>
        <v>1875302.9399933335</v>
      </c>
      <c r="S9" s="68">
        <f>'5.1.1 Nakłady_razem'!BN7</f>
        <v>3814716.1312159998</v>
      </c>
      <c r="T9" s="200">
        <f t="shared" si="0"/>
        <v>28.228402980365857</v>
      </c>
      <c r="U9" s="200">
        <f t="shared" si="1"/>
        <v>751.08858975318799</v>
      </c>
      <c r="V9" s="200">
        <f t="shared" si="2"/>
        <v>4921.3486746803892</v>
      </c>
      <c r="W9" s="199">
        <v>0.18</v>
      </c>
      <c r="X9" s="199">
        <v>0.16</v>
      </c>
      <c r="Y9" s="69">
        <f t="shared" si="13"/>
        <v>15648.359726540744</v>
      </c>
      <c r="Z9" s="68">
        <f t="shared" si="14"/>
        <v>15124.853120568088</v>
      </c>
      <c r="AA9" s="69">
        <f t="shared" si="15"/>
        <v>399.48479379447241</v>
      </c>
      <c r="AB9" s="69">
        <f t="shared" si="16"/>
        <v>124.02181217818276</v>
      </c>
      <c r="AC9" s="201">
        <f t="shared" si="17"/>
        <v>1337.3535002997332</v>
      </c>
      <c r="AD9" s="202">
        <f t="shared" si="30"/>
        <v>426.95044890624007</v>
      </c>
      <c r="AE9" s="201">
        <f t="shared" si="31"/>
        <v>300.04847039893338</v>
      </c>
      <c r="AF9" s="201">
        <f t="shared" si="32"/>
        <v>610.35458099455991</v>
      </c>
      <c r="AG9" s="199">
        <v>0.15</v>
      </c>
      <c r="AH9" s="199">
        <v>0.18</v>
      </c>
      <c r="AI9" s="201">
        <f t="shared" si="18"/>
        <v>2816.7047507773336</v>
      </c>
      <c r="AJ9" s="201">
        <f t="shared" si="33"/>
        <v>2722.4735617022557</v>
      </c>
      <c r="AK9" s="201">
        <f t="shared" si="34"/>
        <v>71.907262883005032</v>
      </c>
      <c r="AL9" s="201">
        <f t="shared" si="35"/>
        <v>22.323926192072896</v>
      </c>
      <c r="AM9" s="201">
        <f t="shared" si="19"/>
        <v>240.72363005395198</v>
      </c>
      <c r="AN9" s="201">
        <f t="shared" si="36"/>
        <v>76.851080803123196</v>
      </c>
      <c r="AO9" s="201">
        <f t="shared" si="37"/>
        <v>54.008724671808004</v>
      </c>
      <c r="AP9" s="201">
        <f t="shared" si="38"/>
        <v>109.86382457902077</v>
      </c>
      <c r="AQ9" s="199">
        <v>0.43</v>
      </c>
      <c r="AR9" s="199">
        <v>0.43</v>
      </c>
      <c r="AS9" s="201">
        <f t="shared" si="20"/>
        <v>1211.1830428342535</v>
      </c>
      <c r="AT9" s="202">
        <f t="shared" si="39"/>
        <v>1170.6636315319699</v>
      </c>
      <c r="AU9" s="201">
        <f t="shared" si="40"/>
        <v>30.920123039692164</v>
      </c>
      <c r="AV9" s="201">
        <f t="shared" si="41"/>
        <v>9.5992882625913456</v>
      </c>
      <c r="AW9" s="201">
        <f t="shared" si="21"/>
        <v>103.51116092319936</v>
      </c>
      <c r="AX9" s="202">
        <f t="shared" si="42"/>
        <v>33.045964745342978</v>
      </c>
      <c r="AY9" s="201">
        <f t="shared" si="43"/>
        <v>23.223751608877443</v>
      </c>
      <c r="AZ9" s="201">
        <f t="shared" si="44"/>
        <v>47.241444568978935</v>
      </c>
      <c r="BA9" s="199">
        <v>0.8</v>
      </c>
      <c r="BB9" s="203">
        <v>1.5</v>
      </c>
      <c r="BC9" s="201">
        <f t="shared" si="45"/>
        <v>55.205952492372994</v>
      </c>
      <c r="BD9" s="202">
        <f t="shared" si="46"/>
        <v>17.624514530849591</v>
      </c>
      <c r="BE9" s="201">
        <f t="shared" si="47"/>
        <v>12.386000858067971</v>
      </c>
      <c r="BF9" s="201">
        <f t="shared" si="48"/>
        <v>25.195437103455433</v>
      </c>
      <c r="BG9" s="201">
        <f t="shared" si="49"/>
        <v>185.51767756157898</v>
      </c>
      <c r="BH9" s="202">
        <f t="shared" si="50"/>
        <v>59.226566272273601</v>
      </c>
      <c r="BI9" s="201">
        <f t="shared" si="51"/>
        <v>41.622723813740031</v>
      </c>
      <c r="BJ9" s="201">
        <f t="shared" si="52"/>
        <v>84.668387475565339</v>
      </c>
      <c r="BK9" s="201">
        <f t="shared" si="22"/>
        <v>240.72363005395198</v>
      </c>
      <c r="BL9" s="202">
        <f t="shared" si="23"/>
        <v>185.51767756157898</v>
      </c>
      <c r="BM9" s="204">
        <f t="shared" si="5"/>
        <v>55.205952492372994</v>
      </c>
      <c r="BN9" s="10"/>
      <c r="BO9" s="10"/>
      <c r="BP9" s="9"/>
    </row>
    <row r="10" spans="1:68" x14ac:dyDescent="0.3">
      <c r="A10" s="126" t="s">
        <v>7</v>
      </c>
      <c r="B10" s="63">
        <f t="shared" si="6"/>
        <v>227352.25248369275</v>
      </c>
      <c r="C10" s="63">
        <f>'5.1.3 Przeds. niefinansowe'!V11</f>
        <v>221028.22200343222</v>
      </c>
      <c r="D10" s="63">
        <f>'5.1.3 Przeds. niefinansowe'!W11</f>
        <v>5023.3826088997776</v>
      </c>
      <c r="E10" s="63">
        <f>'5.1.3 Przeds. niefinansowe'!X11</f>
        <v>1300.6478713607253</v>
      </c>
      <c r="F10" s="199">
        <f t="shared" si="24"/>
        <v>0.7</v>
      </c>
      <c r="G10" s="199">
        <f t="shared" si="25"/>
        <v>0.7</v>
      </c>
      <c r="H10" s="199">
        <f t="shared" si="26"/>
        <v>0.79999999999999993</v>
      </c>
      <c r="I10" s="205">
        <f t="shared" si="27"/>
        <v>0.79999999999999993</v>
      </c>
      <c r="J10" s="205">
        <f t="shared" si="28"/>
        <v>0.87</v>
      </c>
      <c r="K10" s="205">
        <f t="shared" si="29"/>
        <v>0.87</v>
      </c>
      <c r="L10" s="68">
        <f t="shared" si="8"/>
        <v>159870.02513760619</v>
      </c>
      <c r="M10" s="68">
        <f t="shared" si="9"/>
        <v>154719.75540240254</v>
      </c>
      <c r="N10" s="68">
        <f t="shared" si="10"/>
        <v>4018.7060871198219</v>
      </c>
      <c r="O10" s="68">
        <f t="shared" si="11"/>
        <v>1131.5636480838309</v>
      </c>
      <c r="P10" s="68">
        <f t="shared" si="12"/>
        <v>13848702.052458666</v>
      </c>
      <c r="Q10" s="68">
        <f>'5.1.1 Nakłady_razem'!BL8</f>
        <v>5604396.5852186671</v>
      </c>
      <c r="R10" s="68">
        <f>'5.1.1 Nakłady_razem'!BM8</f>
        <v>2646418.4355826667</v>
      </c>
      <c r="S10" s="68">
        <f>'5.1.1 Nakłady_razem'!BN8</f>
        <v>5597887.0316573335</v>
      </c>
      <c r="T10" s="200">
        <f t="shared" si="0"/>
        <v>36.222889382435255</v>
      </c>
      <c r="U10" s="200">
        <f t="shared" si="1"/>
        <v>658.52500237939421</v>
      </c>
      <c r="V10" s="200">
        <f t="shared" si="2"/>
        <v>4947.0368203650696</v>
      </c>
      <c r="W10" s="199">
        <v>0.18</v>
      </c>
      <c r="X10" s="199">
        <v>0.16</v>
      </c>
      <c r="Y10" s="69">
        <f t="shared" si="13"/>
        <v>25579.204022016991</v>
      </c>
      <c r="Z10" s="68">
        <f t="shared" si="14"/>
        <v>24755.160864384408</v>
      </c>
      <c r="AA10" s="69">
        <f t="shared" si="15"/>
        <v>642.99297393917152</v>
      </c>
      <c r="AB10" s="69">
        <f t="shared" si="16"/>
        <v>181.05018369341295</v>
      </c>
      <c r="AC10" s="201">
        <f t="shared" si="17"/>
        <v>2215.7923283933869</v>
      </c>
      <c r="AD10" s="202">
        <f t="shared" si="30"/>
        <v>896.70345363498677</v>
      </c>
      <c r="AE10" s="201">
        <f t="shared" si="31"/>
        <v>423.42694969322667</v>
      </c>
      <c r="AF10" s="201">
        <f t="shared" si="32"/>
        <v>895.66192506517336</v>
      </c>
      <c r="AG10" s="199">
        <v>0.15</v>
      </c>
      <c r="AH10" s="199">
        <v>0.18</v>
      </c>
      <c r="AI10" s="201">
        <f t="shared" si="18"/>
        <v>4604.2567239630589</v>
      </c>
      <c r="AJ10" s="201">
        <f t="shared" si="33"/>
        <v>4455.9289555891937</v>
      </c>
      <c r="AK10" s="201">
        <f t="shared" si="34"/>
        <v>115.73873530905087</v>
      </c>
      <c r="AL10" s="201">
        <f t="shared" si="35"/>
        <v>32.58903306481433</v>
      </c>
      <c r="AM10" s="201">
        <f t="shared" si="19"/>
        <v>398.84261911080961</v>
      </c>
      <c r="AN10" s="201">
        <f t="shared" si="36"/>
        <v>161.40662165429762</v>
      </c>
      <c r="AO10" s="201">
        <f t="shared" si="37"/>
        <v>76.216850944780802</v>
      </c>
      <c r="AP10" s="201">
        <f t="shared" si="38"/>
        <v>161.2191465117312</v>
      </c>
      <c r="AQ10" s="199">
        <v>0.43</v>
      </c>
      <c r="AR10" s="199">
        <v>0.43</v>
      </c>
      <c r="AS10" s="201">
        <f t="shared" si="20"/>
        <v>1979.8303913041154</v>
      </c>
      <c r="AT10" s="202">
        <f t="shared" si="39"/>
        <v>1916.0494509033533</v>
      </c>
      <c r="AU10" s="201">
        <f t="shared" si="40"/>
        <v>49.767656182891869</v>
      </c>
      <c r="AV10" s="201">
        <f t="shared" si="41"/>
        <v>14.013284217870162</v>
      </c>
      <c r="AW10" s="201">
        <f t="shared" si="21"/>
        <v>171.50232621764815</v>
      </c>
      <c r="AX10" s="202">
        <f t="shared" si="42"/>
        <v>69.404847311347979</v>
      </c>
      <c r="AY10" s="201">
        <f t="shared" si="43"/>
        <v>32.773245906255738</v>
      </c>
      <c r="AZ10" s="201">
        <f t="shared" si="44"/>
        <v>69.324233000044416</v>
      </c>
      <c r="BA10" s="199">
        <v>0.8</v>
      </c>
      <c r="BB10" s="203">
        <v>1.5</v>
      </c>
      <c r="BC10" s="201">
        <f t="shared" si="45"/>
        <v>91.467907316079007</v>
      </c>
      <c r="BD10" s="202">
        <f t="shared" si="46"/>
        <v>37.015918566052257</v>
      </c>
      <c r="BE10" s="201">
        <f t="shared" si="47"/>
        <v>17.479064483336394</v>
      </c>
      <c r="BF10" s="201">
        <f t="shared" si="48"/>
        <v>36.972924266690356</v>
      </c>
      <c r="BG10" s="201">
        <f t="shared" si="49"/>
        <v>307.37471179473062</v>
      </c>
      <c r="BH10" s="202">
        <f t="shared" si="50"/>
        <v>124.39070308824537</v>
      </c>
      <c r="BI10" s="201">
        <f t="shared" si="51"/>
        <v>58.737786461444408</v>
      </c>
      <c r="BJ10" s="201">
        <f t="shared" si="52"/>
        <v>124.24622224504084</v>
      </c>
      <c r="BK10" s="201">
        <f t="shared" si="22"/>
        <v>398.84261911080961</v>
      </c>
      <c r="BL10" s="202">
        <f t="shared" si="23"/>
        <v>307.37471179473062</v>
      </c>
      <c r="BM10" s="204">
        <f t="shared" si="5"/>
        <v>91.467907316079007</v>
      </c>
      <c r="BN10" s="10"/>
      <c r="BO10" s="10"/>
      <c r="BP10" s="9"/>
    </row>
    <row r="11" spans="1:68" x14ac:dyDescent="0.3">
      <c r="A11" s="126" t="s">
        <v>8</v>
      </c>
      <c r="B11" s="63">
        <f t="shared" si="6"/>
        <v>461243.12186465482</v>
      </c>
      <c r="C11" s="63">
        <f>'5.1.3 Przeds. niefinansowe'!V12</f>
        <v>450208.91062888014</v>
      </c>
      <c r="D11" s="63">
        <f>'5.1.3 Przeds. niefinansowe'!W12</f>
        <v>8333.6046427008205</v>
      </c>
      <c r="E11" s="63">
        <f>'5.1.3 Przeds. niefinansowe'!X12</f>
        <v>2700.6065930738496</v>
      </c>
      <c r="F11" s="199">
        <f t="shared" si="24"/>
        <v>0.7</v>
      </c>
      <c r="G11" s="199">
        <f t="shared" si="25"/>
        <v>0.7</v>
      </c>
      <c r="H11" s="199">
        <f t="shared" si="26"/>
        <v>0.79999999999999993</v>
      </c>
      <c r="I11" s="205">
        <f t="shared" si="27"/>
        <v>0.79999999999999993</v>
      </c>
      <c r="J11" s="205">
        <f t="shared" si="28"/>
        <v>0.87</v>
      </c>
      <c r="K11" s="205">
        <f t="shared" si="29"/>
        <v>0.87</v>
      </c>
      <c r="L11" s="68">
        <f t="shared" si="8"/>
        <v>324162.64889035095</v>
      </c>
      <c r="M11" s="68">
        <f t="shared" si="9"/>
        <v>315146.23744021606</v>
      </c>
      <c r="N11" s="68">
        <f t="shared" si="10"/>
        <v>6666.8837141606555</v>
      </c>
      <c r="O11" s="68">
        <f t="shared" si="11"/>
        <v>2349.527735974249</v>
      </c>
      <c r="P11" s="68">
        <f t="shared" si="12"/>
        <v>50273801.717257328</v>
      </c>
      <c r="Q11" s="68">
        <f>'5.1.1 Nakłady_razem'!BL9</f>
        <v>23712334.805471998</v>
      </c>
      <c r="R11" s="68">
        <f>'5.1.1 Nakłady_razem'!BM9</f>
        <v>8072902.0265999995</v>
      </c>
      <c r="S11" s="68">
        <f>'5.1.1 Nakłady_razem'!BN9</f>
        <v>18488564.885185331</v>
      </c>
      <c r="T11" s="200">
        <f t="shared" si="0"/>
        <v>75.242322415384322</v>
      </c>
      <c r="U11" s="200">
        <f t="shared" si="1"/>
        <v>1210.8958807025417</v>
      </c>
      <c r="V11" s="200">
        <f t="shared" si="2"/>
        <v>7869.0558115581935</v>
      </c>
      <c r="W11" s="199">
        <v>0.18</v>
      </c>
      <c r="X11" s="199">
        <v>0.16</v>
      </c>
      <c r="Y11" s="69">
        <f t="shared" si="13"/>
        <v>51866.023822456154</v>
      </c>
      <c r="Z11" s="68">
        <f t="shared" si="14"/>
        <v>50423.397990434569</v>
      </c>
      <c r="AA11" s="69">
        <f t="shared" si="15"/>
        <v>1066.7013942657049</v>
      </c>
      <c r="AB11" s="69">
        <f t="shared" si="16"/>
        <v>375.92443775587986</v>
      </c>
      <c r="AC11" s="201">
        <f t="shared" si="17"/>
        <v>8043.8082747611716</v>
      </c>
      <c r="AD11" s="202">
        <f t="shared" si="30"/>
        <v>3793.9735688755195</v>
      </c>
      <c r="AE11" s="201">
        <f t="shared" si="31"/>
        <v>1291.6643242559999</v>
      </c>
      <c r="AF11" s="201">
        <f t="shared" si="32"/>
        <v>2958.1703816296526</v>
      </c>
      <c r="AG11" s="199">
        <v>0.15</v>
      </c>
      <c r="AH11" s="199">
        <v>0.18</v>
      </c>
      <c r="AI11" s="201">
        <f t="shared" si="18"/>
        <v>9335.8842880421071</v>
      </c>
      <c r="AJ11" s="201">
        <f t="shared" si="33"/>
        <v>9076.2116382782224</v>
      </c>
      <c r="AK11" s="201">
        <f t="shared" si="34"/>
        <v>192.00625096782687</v>
      </c>
      <c r="AL11" s="201">
        <f t="shared" si="35"/>
        <v>67.666398796058374</v>
      </c>
      <c r="AM11" s="201">
        <f t="shared" si="19"/>
        <v>1447.8854894570111</v>
      </c>
      <c r="AN11" s="201">
        <f t="shared" si="36"/>
        <v>682.9152423975936</v>
      </c>
      <c r="AO11" s="201">
        <f t="shared" si="37"/>
        <v>232.49957836607999</v>
      </c>
      <c r="AP11" s="201">
        <f t="shared" si="38"/>
        <v>532.47066869333753</v>
      </c>
      <c r="AQ11" s="199">
        <v>0.43</v>
      </c>
      <c r="AR11" s="199">
        <v>0.43</v>
      </c>
      <c r="AS11" s="201">
        <f t="shared" si="20"/>
        <v>4014.4302438581062</v>
      </c>
      <c r="AT11" s="202">
        <f t="shared" si="39"/>
        <v>3902.7710044596356</v>
      </c>
      <c r="AU11" s="201">
        <f t="shared" si="40"/>
        <v>82.562687916165558</v>
      </c>
      <c r="AV11" s="201">
        <f t="shared" si="41"/>
        <v>29.096551482305099</v>
      </c>
      <c r="AW11" s="201">
        <f t="shared" si="21"/>
        <v>622.59076046651467</v>
      </c>
      <c r="AX11" s="202">
        <f t="shared" si="42"/>
        <v>293.6535542309652</v>
      </c>
      <c r="AY11" s="201">
        <f t="shared" si="43"/>
        <v>99.974818697414392</v>
      </c>
      <c r="AZ11" s="201">
        <f t="shared" si="44"/>
        <v>228.96238753813512</v>
      </c>
      <c r="BA11" s="199">
        <v>0.8</v>
      </c>
      <c r="BB11" s="203">
        <v>1.5</v>
      </c>
      <c r="BC11" s="201">
        <f t="shared" si="45"/>
        <v>332.04840558214119</v>
      </c>
      <c r="BD11" s="202">
        <f t="shared" si="46"/>
        <v>156.61522892318143</v>
      </c>
      <c r="BE11" s="201">
        <f t="shared" si="47"/>
        <v>53.319903305287681</v>
      </c>
      <c r="BF11" s="201">
        <f t="shared" si="48"/>
        <v>122.11327335367207</v>
      </c>
      <c r="BG11" s="201">
        <f t="shared" si="49"/>
        <v>1115.8370838748699</v>
      </c>
      <c r="BH11" s="202">
        <f t="shared" si="50"/>
        <v>526.30001347441214</v>
      </c>
      <c r="BI11" s="201">
        <f t="shared" si="51"/>
        <v>179.17967506079231</v>
      </c>
      <c r="BJ11" s="201">
        <f t="shared" si="52"/>
        <v>410.35739533966546</v>
      </c>
      <c r="BK11" s="201">
        <f t="shared" si="22"/>
        <v>1447.8854894570111</v>
      </c>
      <c r="BL11" s="202">
        <f t="shared" si="23"/>
        <v>1115.8370838748699</v>
      </c>
      <c r="BM11" s="204">
        <f t="shared" si="5"/>
        <v>332.04840558214119</v>
      </c>
      <c r="BN11" s="10"/>
      <c r="BO11" s="10"/>
      <c r="BP11" s="9"/>
    </row>
    <row r="12" spans="1:68" x14ac:dyDescent="0.3">
      <c r="A12" s="126" t="s">
        <v>9</v>
      </c>
      <c r="B12" s="63">
        <f t="shared" si="6"/>
        <v>45658.627667825494</v>
      </c>
      <c r="C12" s="63">
        <f>'5.1.3 Przeds. niefinansowe'!V13</f>
        <v>44110.010133325748</v>
      </c>
      <c r="D12" s="63">
        <f>'5.1.3 Przeds. niefinansowe'!W13</f>
        <v>1230.2921351546868</v>
      </c>
      <c r="E12" s="63">
        <f>'5.1.3 Przeds. niefinansowe'!X13</f>
        <v>318.32539934505269</v>
      </c>
      <c r="F12" s="199">
        <f t="shared" si="24"/>
        <v>0.7</v>
      </c>
      <c r="G12" s="199">
        <f t="shared" si="25"/>
        <v>0.7</v>
      </c>
      <c r="H12" s="199">
        <f t="shared" si="26"/>
        <v>0.79999999999999993</v>
      </c>
      <c r="I12" s="205">
        <f t="shared" si="27"/>
        <v>0.79999999999999993</v>
      </c>
      <c r="J12" s="205">
        <f t="shared" si="28"/>
        <v>0.87</v>
      </c>
      <c r="K12" s="205">
        <f t="shared" si="29"/>
        <v>0.87</v>
      </c>
      <c r="L12" s="68">
        <f t="shared" si="8"/>
        <v>32138.183898881965</v>
      </c>
      <c r="M12" s="68">
        <f t="shared" si="9"/>
        <v>30877.007093328022</v>
      </c>
      <c r="N12" s="68">
        <f t="shared" si="10"/>
        <v>984.23370812374935</v>
      </c>
      <c r="O12" s="68">
        <f t="shared" si="11"/>
        <v>276.94309743019585</v>
      </c>
      <c r="P12" s="68">
        <f t="shared" si="12"/>
        <v>3746040.365832</v>
      </c>
      <c r="Q12" s="68">
        <f>'5.1.1 Nakłady_razem'!BL10</f>
        <v>1395498.0313133337</v>
      </c>
      <c r="R12" s="68">
        <f>'5.1.1 Nakłady_razem'!BM10</f>
        <v>674992.83199066669</v>
      </c>
      <c r="S12" s="68">
        <f>'5.1.1 Nakłady_razem'!BN10</f>
        <v>1675549.5025279999</v>
      </c>
      <c r="T12" s="200">
        <f t="shared" si="0"/>
        <v>45.195378784457269</v>
      </c>
      <c r="U12" s="200">
        <f t="shared" si="1"/>
        <v>685.80544073968929</v>
      </c>
      <c r="V12" s="200">
        <f t="shared" si="2"/>
        <v>6050.1580219031312</v>
      </c>
      <c r="W12" s="199">
        <v>0.18</v>
      </c>
      <c r="X12" s="199">
        <v>0.16</v>
      </c>
      <c r="Y12" s="69">
        <f t="shared" si="13"/>
        <v>5142.1094238211144</v>
      </c>
      <c r="Z12" s="68">
        <f t="shared" si="14"/>
        <v>4940.3211349324838</v>
      </c>
      <c r="AA12" s="69">
        <f t="shared" si="15"/>
        <v>157.4773932997999</v>
      </c>
      <c r="AB12" s="69">
        <f t="shared" si="16"/>
        <v>44.310895588831336</v>
      </c>
      <c r="AC12" s="201">
        <f t="shared" si="17"/>
        <v>599.36645853312007</v>
      </c>
      <c r="AD12" s="202">
        <f t="shared" si="30"/>
        <v>223.27968501013342</v>
      </c>
      <c r="AE12" s="201">
        <f t="shared" si="31"/>
        <v>107.99885311850667</v>
      </c>
      <c r="AF12" s="201">
        <f t="shared" si="32"/>
        <v>268.08792040447997</v>
      </c>
      <c r="AG12" s="199">
        <v>0.15</v>
      </c>
      <c r="AH12" s="199">
        <v>0.18</v>
      </c>
      <c r="AI12" s="201">
        <f t="shared" si="18"/>
        <v>925.57969628780063</v>
      </c>
      <c r="AJ12" s="201">
        <f t="shared" si="33"/>
        <v>889.25780428784708</v>
      </c>
      <c r="AK12" s="201">
        <f t="shared" si="34"/>
        <v>28.34593079396398</v>
      </c>
      <c r="AL12" s="201">
        <f t="shared" si="35"/>
        <v>7.9759612059896403</v>
      </c>
      <c r="AM12" s="201">
        <f t="shared" si="19"/>
        <v>107.88596253596161</v>
      </c>
      <c r="AN12" s="201">
        <f t="shared" si="36"/>
        <v>40.190343301824015</v>
      </c>
      <c r="AO12" s="201">
        <f t="shared" si="37"/>
        <v>19.439793561331197</v>
      </c>
      <c r="AP12" s="201">
        <f t="shared" si="38"/>
        <v>48.255825672806395</v>
      </c>
      <c r="AQ12" s="199">
        <v>0.43</v>
      </c>
      <c r="AR12" s="199">
        <v>0.43</v>
      </c>
      <c r="AS12" s="201">
        <f t="shared" si="20"/>
        <v>397.99926940375428</v>
      </c>
      <c r="AT12" s="202">
        <f t="shared" si="39"/>
        <v>382.38085584377421</v>
      </c>
      <c r="AU12" s="201">
        <f t="shared" si="40"/>
        <v>12.188750241404511</v>
      </c>
      <c r="AV12" s="201">
        <f t="shared" si="41"/>
        <v>3.4296633185755452</v>
      </c>
      <c r="AW12" s="201">
        <f t="shared" si="21"/>
        <v>46.390963890463489</v>
      </c>
      <c r="AX12" s="202">
        <f t="shared" si="42"/>
        <v>17.281847619784326</v>
      </c>
      <c r="AY12" s="201">
        <f t="shared" si="43"/>
        <v>8.359111231372415</v>
      </c>
      <c r="AZ12" s="201">
        <f t="shared" si="44"/>
        <v>20.75000503930675</v>
      </c>
      <c r="BA12" s="199">
        <v>0.8</v>
      </c>
      <c r="BB12" s="203">
        <v>1.5</v>
      </c>
      <c r="BC12" s="201">
        <f t="shared" si="45"/>
        <v>24.741847408247196</v>
      </c>
      <c r="BD12" s="202">
        <f t="shared" si="46"/>
        <v>9.2169853972183073</v>
      </c>
      <c r="BE12" s="201">
        <f t="shared" si="47"/>
        <v>4.4581926567319554</v>
      </c>
      <c r="BF12" s="201">
        <f t="shared" si="48"/>
        <v>11.066669354296934</v>
      </c>
      <c r="BG12" s="201">
        <f t="shared" si="49"/>
        <v>83.1441151277144</v>
      </c>
      <c r="BH12" s="202">
        <f t="shared" si="50"/>
        <v>30.973357904605706</v>
      </c>
      <c r="BI12" s="201">
        <f t="shared" si="51"/>
        <v>14.98160090459924</v>
      </c>
      <c r="BJ12" s="201">
        <f t="shared" si="52"/>
        <v>37.189156318509461</v>
      </c>
      <c r="BK12" s="201">
        <f t="shared" si="22"/>
        <v>107.8859625359616</v>
      </c>
      <c r="BL12" s="202">
        <f t="shared" si="23"/>
        <v>83.1441151277144</v>
      </c>
      <c r="BM12" s="204">
        <f t="shared" si="5"/>
        <v>24.741847408247196</v>
      </c>
      <c r="BN12" s="10"/>
      <c r="BO12" s="10"/>
      <c r="BP12" s="9"/>
    </row>
    <row r="13" spans="1:68" x14ac:dyDescent="0.3">
      <c r="A13" s="126" t="s">
        <v>10</v>
      </c>
      <c r="B13" s="63">
        <f t="shared" si="6"/>
        <v>95948.124621844108</v>
      </c>
      <c r="C13" s="63">
        <f>'5.1.3 Przeds. niefinansowe'!V14</f>
        <v>92654.236678522342</v>
      </c>
      <c r="D13" s="63">
        <f>'5.1.3 Przeds. niefinansowe'!W14</f>
        <v>2591.4995643811581</v>
      </c>
      <c r="E13" s="63">
        <f>'5.1.3 Przeds. niefinansowe'!X14</f>
        <v>702.38837894061589</v>
      </c>
      <c r="F13" s="199">
        <f t="shared" si="24"/>
        <v>0.7</v>
      </c>
      <c r="G13" s="199">
        <f t="shared" si="25"/>
        <v>0.7</v>
      </c>
      <c r="H13" s="199">
        <f t="shared" si="26"/>
        <v>0.79999999999999993</v>
      </c>
      <c r="I13" s="205">
        <f t="shared" si="27"/>
        <v>0.79999999999999993</v>
      </c>
      <c r="J13" s="205">
        <f t="shared" si="28"/>
        <v>0.87</v>
      </c>
      <c r="K13" s="205">
        <f t="shared" si="29"/>
        <v>0.87</v>
      </c>
      <c r="L13" s="68">
        <f t="shared" si="8"/>
        <v>67542.243216148898</v>
      </c>
      <c r="M13" s="68">
        <f t="shared" si="9"/>
        <v>64857.965674965635</v>
      </c>
      <c r="N13" s="68">
        <f t="shared" si="10"/>
        <v>2073.1996515049264</v>
      </c>
      <c r="O13" s="68">
        <f t="shared" si="11"/>
        <v>611.07788967833585</v>
      </c>
      <c r="P13" s="68">
        <f t="shared" si="12"/>
        <v>7171724.532374667</v>
      </c>
      <c r="Q13" s="68">
        <f>'5.1.1 Nakłady_razem'!BL11</f>
        <v>2192748.5717821331</v>
      </c>
      <c r="R13" s="68">
        <f>'5.1.1 Nakłady_razem'!BM11</f>
        <v>1773566.0659389331</v>
      </c>
      <c r="S13" s="68">
        <f>'5.1.1 Nakłady_razem'!BN11</f>
        <v>3205409.8946536002</v>
      </c>
      <c r="T13" s="200">
        <f t="shared" si="0"/>
        <v>33.80846976871041</v>
      </c>
      <c r="U13" s="200">
        <f t="shared" si="1"/>
        <v>855.47287481526905</v>
      </c>
      <c r="V13" s="200">
        <f t="shared" si="2"/>
        <v>5245.5013490029723</v>
      </c>
      <c r="W13" s="199">
        <v>0.18</v>
      </c>
      <c r="X13" s="199">
        <v>0.16</v>
      </c>
      <c r="Y13" s="69">
        <f t="shared" si="13"/>
        <v>10806.758914583823</v>
      </c>
      <c r="Z13" s="68">
        <f t="shared" si="14"/>
        <v>10377.274507994502</v>
      </c>
      <c r="AA13" s="69">
        <f t="shared" si="15"/>
        <v>331.71194424078823</v>
      </c>
      <c r="AB13" s="69">
        <f t="shared" si="16"/>
        <v>97.772462348533736</v>
      </c>
      <c r="AC13" s="201">
        <f t="shared" si="17"/>
        <v>1147.4759251799467</v>
      </c>
      <c r="AD13" s="202">
        <f t="shared" si="30"/>
        <v>350.83977148514128</v>
      </c>
      <c r="AE13" s="201">
        <f t="shared" si="31"/>
        <v>283.77057055022937</v>
      </c>
      <c r="AF13" s="201">
        <f t="shared" si="32"/>
        <v>512.86558314457602</v>
      </c>
      <c r="AG13" s="199">
        <v>0.15</v>
      </c>
      <c r="AH13" s="199">
        <v>0.18</v>
      </c>
      <c r="AI13" s="201">
        <f t="shared" si="18"/>
        <v>1945.2166046250882</v>
      </c>
      <c r="AJ13" s="201">
        <f t="shared" si="33"/>
        <v>1867.9094114390102</v>
      </c>
      <c r="AK13" s="201">
        <f t="shared" si="34"/>
        <v>59.708149963341882</v>
      </c>
      <c r="AL13" s="201">
        <f t="shared" si="35"/>
        <v>17.599043222736071</v>
      </c>
      <c r="AM13" s="201">
        <f t="shared" si="19"/>
        <v>206.54566653239038</v>
      </c>
      <c r="AN13" s="201">
        <f t="shared" si="36"/>
        <v>63.151158867325428</v>
      </c>
      <c r="AO13" s="201">
        <f t="shared" si="37"/>
        <v>51.07870269904128</v>
      </c>
      <c r="AP13" s="201">
        <f t="shared" si="38"/>
        <v>92.315804966023691</v>
      </c>
      <c r="AQ13" s="199">
        <v>0.43</v>
      </c>
      <c r="AR13" s="199">
        <v>0.43</v>
      </c>
      <c r="AS13" s="201">
        <f t="shared" si="20"/>
        <v>836.44313998878795</v>
      </c>
      <c r="AT13" s="202">
        <f t="shared" si="39"/>
        <v>803.20104691877441</v>
      </c>
      <c r="AU13" s="201">
        <f t="shared" si="40"/>
        <v>25.674504484237008</v>
      </c>
      <c r="AV13" s="201">
        <f t="shared" si="41"/>
        <v>7.5675885857765106</v>
      </c>
      <c r="AW13" s="201">
        <f t="shared" si="21"/>
        <v>88.81463660892787</v>
      </c>
      <c r="AX13" s="202">
        <f t="shared" si="42"/>
        <v>27.154998312949935</v>
      </c>
      <c r="AY13" s="201">
        <f t="shared" si="43"/>
        <v>21.963842160587753</v>
      </c>
      <c r="AZ13" s="201">
        <f t="shared" si="44"/>
        <v>39.695796135390182</v>
      </c>
      <c r="BA13" s="199">
        <v>0.8</v>
      </c>
      <c r="BB13" s="203">
        <v>1.5</v>
      </c>
      <c r="BC13" s="201">
        <f t="shared" si="45"/>
        <v>47.367806191428201</v>
      </c>
      <c r="BD13" s="202">
        <f t="shared" si="46"/>
        <v>14.482665766906633</v>
      </c>
      <c r="BE13" s="201">
        <f t="shared" si="47"/>
        <v>11.71404915231347</v>
      </c>
      <c r="BF13" s="201">
        <f t="shared" si="48"/>
        <v>21.171091272208098</v>
      </c>
      <c r="BG13" s="201">
        <f t="shared" si="49"/>
        <v>159.17786034096218</v>
      </c>
      <c r="BH13" s="202">
        <f t="shared" si="50"/>
        <v>48.668493100418793</v>
      </c>
      <c r="BI13" s="201">
        <f t="shared" si="51"/>
        <v>39.364653546727808</v>
      </c>
      <c r="BJ13" s="201">
        <f t="shared" si="52"/>
        <v>71.144713693815589</v>
      </c>
      <c r="BK13" s="201">
        <f t="shared" si="22"/>
        <v>206.54566653239038</v>
      </c>
      <c r="BL13" s="202">
        <f t="shared" si="23"/>
        <v>159.17786034096218</v>
      </c>
      <c r="BM13" s="204">
        <f t="shared" si="5"/>
        <v>47.367806191428201</v>
      </c>
      <c r="BN13" s="10"/>
      <c r="BO13" s="10"/>
      <c r="BP13" s="9"/>
    </row>
    <row r="14" spans="1:68" x14ac:dyDescent="0.3">
      <c r="A14" s="126" t="s">
        <v>11</v>
      </c>
      <c r="B14" s="63">
        <f t="shared" si="6"/>
        <v>57327.482757536869</v>
      </c>
      <c r="C14" s="63">
        <f>'5.1.3 Przeds. niefinansowe'!V15</f>
        <v>55693.766742240427</v>
      </c>
      <c r="D14" s="63">
        <f>'5.1.3 Przeds. niefinansowe'!W15</f>
        <v>1259.8158291151346</v>
      </c>
      <c r="E14" s="63">
        <f>'5.1.3 Przeds. niefinansowe'!X15</f>
        <v>373.90018618130716</v>
      </c>
      <c r="F14" s="199">
        <f t="shared" si="24"/>
        <v>0.7</v>
      </c>
      <c r="G14" s="199">
        <f t="shared" si="25"/>
        <v>0.7</v>
      </c>
      <c r="H14" s="199">
        <f t="shared" si="26"/>
        <v>0.79999999999999993</v>
      </c>
      <c r="I14" s="205">
        <f t="shared" si="27"/>
        <v>0.79999999999999993</v>
      </c>
      <c r="J14" s="205">
        <f t="shared" si="28"/>
        <v>0.87</v>
      </c>
      <c r="K14" s="205">
        <f t="shared" si="29"/>
        <v>0.87</v>
      </c>
      <c r="L14" s="68">
        <f t="shared" si="8"/>
        <v>40318.782544838141</v>
      </c>
      <c r="M14" s="68">
        <f t="shared" si="9"/>
        <v>38985.636719568298</v>
      </c>
      <c r="N14" s="68">
        <f t="shared" si="10"/>
        <v>1007.8526632921076</v>
      </c>
      <c r="O14" s="68">
        <f t="shared" si="11"/>
        <v>325.29316197773721</v>
      </c>
      <c r="P14" s="68">
        <f t="shared" si="12"/>
        <v>3530019.1956293336</v>
      </c>
      <c r="Q14" s="68">
        <f>'5.1.1 Nakłady_razem'!BL12</f>
        <v>1030737.8389845334</v>
      </c>
      <c r="R14" s="68">
        <f>'5.1.1 Nakłady_razem'!BM12</f>
        <v>941102.56544373347</v>
      </c>
      <c r="S14" s="68">
        <f>'5.1.1 Nakłady_razem'!BN12</f>
        <v>1558178.7912010667</v>
      </c>
      <c r="T14" s="200">
        <f t="shared" si="0"/>
        <v>26.438912525626879</v>
      </c>
      <c r="U14" s="200">
        <f t="shared" si="1"/>
        <v>933.76998416580273</v>
      </c>
      <c r="V14" s="200">
        <f t="shared" si="2"/>
        <v>4790.0754560211353</v>
      </c>
      <c r="W14" s="199">
        <v>0.18</v>
      </c>
      <c r="X14" s="199">
        <v>0.16</v>
      </c>
      <c r="Y14" s="69">
        <f t="shared" si="13"/>
        <v>6451.0052071741029</v>
      </c>
      <c r="Z14" s="68">
        <f t="shared" si="14"/>
        <v>6237.7018751309279</v>
      </c>
      <c r="AA14" s="69">
        <f t="shared" si="15"/>
        <v>161.25642612673724</v>
      </c>
      <c r="AB14" s="69">
        <f t="shared" si="16"/>
        <v>52.046905916437957</v>
      </c>
      <c r="AC14" s="201">
        <f t="shared" si="17"/>
        <v>564.80307130069343</v>
      </c>
      <c r="AD14" s="202">
        <f t="shared" si="30"/>
        <v>164.91805423752535</v>
      </c>
      <c r="AE14" s="201">
        <f t="shared" si="31"/>
        <v>150.57641047099736</v>
      </c>
      <c r="AF14" s="201">
        <f t="shared" si="32"/>
        <v>249.30860659217066</v>
      </c>
      <c r="AG14" s="199">
        <v>0.15</v>
      </c>
      <c r="AH14" s="199">
        <v>0.18</v>
      </c>
      <c r="AI14" s="201">
        <f t="shared" si="18"/>
        <v>1161.1809372913385</v>
      </c>
      <c r="AJ14" s="201">
        <f t="shared" si="33"/>
        <v>1122.786337523567</v>
      </c>
      <c r="AK14" s="201">
        <f t="shared" si="34"/>
        <v>29.026156702812703</v>
      </c>
      <c r="AL14" s="201">
        <f t="shared" si="35"/>
        <v>9.3684430649588322</v>
      </c>
      <c r="AM14" s="201">
        <f t="shared" si="19"/>
        <v>101.66455283412481</v>
      </c>
      <c r="AN14" s="201">
        <f t="shared" si="36"/>
        <v>29.685249762754562</v>
      </c>
      <c r="AO14" s="201">
        <f t="shared" si="37"/>
        <v>27.103753884779525</v>
      </c>
      <c r="AP14" s="201">
        <f t="shared" si="38"/>
        <v>44.875549186590725</v>
      </c>
      <c r="AQ14" s="199">
        <v>0.43</v>
      </c>
      <c r="AR14" s="199">
        <v>0.43</v>
      </c>
      <c r="AS14" s="201">
        <f t="shared" si="20"/>
        <v>499.30780303527558</v>
      </c>
      <c r="AT14" s="202">
        <f t="shared" si="39"/>
        <v>482.79812513513383</v>
      </c>
      <c r="AU14" s="201">
        <f t="shared" si="40"/>
        <v>12.481247382209462</v>
      </c>
      <c r="AV14" s="201">
        <f t="shared" si="41"/>
        <v>4.0284305179322981</v>
      </c>
      <c r="AW14" s="201">
        <f t="shared" si="21"/>
        <v>43.715757718673672</v>
      </c>
      <c r="AX14" s="202">
        <f t="shared" si="42"/>
        <v>12.764657397984463</v>
      </c>
      <c r="AY14" s="201">
        <f t="shared" si="43"/>
        <v>11.654614170455195</v>
      </c>
      <c r="AZ14" s="201">
        <f t="shared" si="44"/>
        <v>19.29648615023401</v>
      </c>
      <c r="BA14" s="199">
        <v>0.8</v>
      </c>
      <c r="BB14" s="203">
        <v>1.5</v>
      </c>
      <c r="BC14" s="201">
        <f t="shared" si="45"/>
        <v>23.315070783292626</v>
      </c>
      <c r="BD14" s="202">
        <f t="shared" si="46"/>
        <v>6.8078172789250475</v>
      </c>
      <c r="BE14" s="201">
        <f t="shared" si="47"/>
        <v>6.2157942242427708</v>
      </c>
      <c r="BF14" s="201">
        <f t="shared" si="48"/>
        <v>10.291459280124807</v>
      </c>
      <c r="BG14" s="201">
        <f t="shared" si="49"/>
        <v>78.349482050832194</v>
      </c>
      <c r="BH14" s="202">
        <f t="shared" si="50"/>
        <v>22.877432483829516</v>
      </c>
      <c r="BI14" s="201">
        <f t="shared" si="51"/>
        <v>20.887959660536755</v>
      </c>
      <c r="BJ14" s="201">
        <f t="shared" si="52"/>
        <v>34.58408990646592</v>
      </c>
      <c r="BK14" s="201">
        <f t="shared" si="22"/>
        <v>101.66455283412482</v>
      </c>
      <c r="BL14" s="202">
        <f t="shared" si="23"/>
        <v>78.349482050832194</v>
      </c>
      <c r="BM14" s="204">
        <f t="shared" si="5"/>
        <v>23.315070783292626</v>
      </c>
      <c r="BN14" s="10"/>
      <c r="BO14" s="10"/>
      <c r="BP14" s="9"/>
    </row>
    <row r="15" spans="1:68" x14ac:dyDescent="0.3">
      <c r="A15" s="126" t="s">
        <v>12</v>
      </c>
      <c r="B15" s="63">
        <f t="shared" si="6"/>
        <v>157105.41267823215</v>
      </c>
      <c r="C15" s="63">
        <f>'5.1.3 Przeds. niefinansowe'!V16</f>
        <v>153046.37238254413</v>
      </c>
      <c r="D15" s="63">
        <f>'5.1.3 Przeds. niefinansowe'!W16</f>
        <v>3106.371142522325</v>
      </c>
      <c r="E15" s="63">
        <f>'5.1.3 Przeds. niefinansowe'!X16</f>
        <v>952.66915316572408</v>
      </c>
      <c r="F15" s="199">
        <f t="shared" si="24"/>
        <v>0.7</v>
      </c>
      <c r="G15" s="199">
        <f t="shared" si="25"/>
        <v>0.7</v>
      </c>
      <c r="H15" s="199">
        <f t="shared" si="26"/>
        <v>0.79999999999999993</v>
      </c>
      <c r="I15" s="205">
        <f t="shared" si="27"/>
        <v>0.79999999999999993</v>
      </c>
      <c r="J15" s="205">
        <f t="shared" si="28"/>
        <v>0.87</v>
      </c>
      <c r="K15" s="205">
        <f t="shared" si="29"/>
        <v>0.87</v>
      </c>
      <c r="L15" s="68">
        <f t="shared" si="8"/>
        <v>110446.37974505292</v>
      </c>
      <c r="M15" s="68">
        <f t="shared" si="9"/>
        <v>107132.46066778088</v>
      </c>
      <c r="N15" s="68">
        <f t="shared" si="10"/>
        <v>2485.0969140178599</v>
      </c>
      <c r="O15" s="68">
        <f t="shared" si="11"/>
        <v>828.82216325417994</v>
      </c>
      <c r="P15" s="68">
        <f t="shared" si="12"/>
        <v>11362582.580546666</v>
      </c>
      <c r="Q15" s="68">
        <f>'5.1.1 Nakłady_razem'!BL13</f>
        <v>4091967.9573728004</v>
      </c>
      <c r="R15" s="68">
        <f>'5.1.1 Nakłady_razem'!BM13</f>
        <v>1899654.9304602668</v>
      </c>
      <c r="S15" s="68">
        <f>'5.1.1 Nakłady_razem'!BN13</f>
        <v>5370959.6927135997</v>
      </c>
      <c r="T15" s="200">
        <f t="shared" si="0"/>
        <v>38.19540717973468</v>
      </c>
      <c r="U15" s="200">
        <f t="shared" si="1"/>
        <v>764.41885213600744</v>
      </c>
      <c r="V15" s="200">
        <f t="shared" si="2"/>
        <v>6480.2317443174534</v>
      </c>
      <c r="W15" s="199">
        <v>0.18</v>
      </c>
      <c r="X15" s="199">
        <v>0.16</v>
      </c>
      <c r="Y15" s="69">
        <f t="shared" si="13"/>
        <v>17671.420759208468</v>
      </c>
      <c r="Z15" s="68">
        <f t="shared" si="14"/>
        <v>17141.193706844941</v>
      </c>
      <c r="AA15" s="69">
        <f t="shared" si="15"/>
        <v>397.61550624285758</v>
      </c>
      <c r="AB15" s="69">
        <f t="shared" si="16"/>
        <v>132.61154612066881</v>
      </c>
      <c r="AC15" s="201">
        <f t="shared" si="17"/>
        <v>1818.0132128874668</v>
      </c>
      <c r="AD15" s="202">
        <f t="shared" si="30"/>
        <v>654.71487317964818</v>
      </c>
      <c r="AE15" s="201">
        <f t="shared" si="31"/>
        <v>303.94478887364266</v>
      </c>
      <c r="AF15" s="201">
        <f t="shared" si="32"/>
        <v>859.35355083417596</v>
      </c>
      <c r="AG15" s="199">
        <v>0.15</v>
      </c>
      <c r="AH15" s="199">
        <v>0.18</v>
      </c>
      <c r="AI15" s="201">
        <f t="shared" si="18"/>
        <v>3180.8557366575242</v>
      </c>
      <c r="AJ15" s="201">
        <f t="shared" si="33"/>
        <v>3085.4148672320894</v>
      </c>
      <c r="AK15" s="201">
        <f t="shared" si="34"/>
        <v>71.570791123714358</v>
      </c>
      <c r="AL15" s="201">
        <f t="shared" si="35"/>
        <v>23.870078301720383</v>
      </c>
      <c r="AM15" s="201">
        <f t="shared" si="19"/>
        <v>327.24237831974403</v>
      </c>
      <c r="AN15" s="201">
        <f t="shared" si="36"/>
        <v>117.84867717233666</v>
      </c>
      <c r="AO15" s="201">
        <f t="shared" si="37"/>
        <v>54.710061997255679</v>
      </c>
      <c r="AP15" s="201">
        <f t="shared" si="38"/>
        <v>154.68363915015166</v>
      </c>
      <c r="AQ15" s="199">
        <v>0.43</v>
      </c>
      <c r="AR15" s="199">
        <v>0.43</v>
      </c>
      <c r="AS15" s="201">
        <f t="shared" si="20"/>
        <v>1367.7679667627353</v>
      </c>
      <c r="AT15" s="202">
        <f t="shared" si="39"/>
        <v>1326.7283929097985</v>
      </c>
      <c r="AU15" s="201">
        <f t="shared" si="40"/>
        <v>30.775440183197173</v>
      </c>
      <c r="AV15" s="201">
        <f t="shared" si="41"/>
        <v>10.264133669739765</v>
      </c>
      <c r="AW15" s="201">
        <f t="shared" si="21"/>
        <v>140.71422267748994</v>
      </c>
      <c r="AX15" s="202">
        <f t="shared" si="42"/>
        <v>50.674931184104764</v>
      </c>
      <c r="AY15" s="201">
        <f t="shared" si="43"/>
        <v>23.525326658819939</v>
      </c>
      <c r="AZ15" s="201">
        <f t="shared" si="44"/>
        <v>66.513964834565229</v>
      </c>
      <c r="BA15" s="199">
        <v>0.8</v>
      </c>
      <c r="BB15" s="203">
        <v>1.5</v>
      </c>
      <c r="BC15" s="201">
        <f t="shared" si="45"/>
        <v>75.047585427994619</v>
      </c>
      <c r="BD15" s="202">
        <f t="shared" si="46"/>
        <v>27.026629964855875</v>
      </c>
      <c r="BE15" s="201">
        <f t="shared" si="47"/>
        <v>12.546840884703968</v>
      </c>
      <c r="BF15" s="201">
        <f t="shared" si="48"/>
        <v>35.474114578434786</v>
      </c>
      <c r="BG15" s="201">
        <f t="shared" si="49"/>
        <v>252.19479289174939</v>
      </c>
      <c r="BH15" s="202">
        <f t="shared" si="50"/>
        <v>90.822047207480793</v>
      </c>
      <c r="BI15" s="201">
        <f t="shared" si="51"/>
        <v>42.16322111255171</v>
      </c>
      <c r="BJ15" s="201">
        <f t="shared" si="52"/>
        <v>119.20952457171688</v>
      </c>
      <c r="BK15" s="201">
        <f t="shared" si="22"/>
        <v>327.24237831974403</v>
      </c>
      <c r="BL15" s="202">
        <f t="shared" si="23"/>
        <v>252.19479289174939</v>
      </c>
      <c r="BM15" s="204">
        <f t="shared" si="5"/>
        <v>75.047585427994619</v>
      </c>
      <c r="BN15" s="10"/>
      <c r="BO15" s="10"/>
      <c r="BP15" s="9"/>
    </row>
    <row r="16" spans="1:68" x14ac:dyDescent="0.3">
      <c r="A16" s="126" t="s">
        <v>13</v>
      </c>
      <c r="B16" s="63">
        <f t="shared" si="6"/>
        <v>250104.53200976443</v>
      </c>
      <c r="C16" s="63">
        <f>'5.1.3 Przeds. niefinansowe'!V17</f>
        <v>241544.08810428879</v>
      </c>
      <c r="D16" s="63">
        <f>'5.1.3 Przeds. niefinansowe'!W17</f>
        <v>6676.6957915148714</v>
      </c>
      <c r="E16" s="63">
        <f>'5.1.3 Przeds. niefinansowe'!X17</f>
        <v>1883.7481139607485</v>
      </c>
      <c r="F16" s="199">
        <f t="shared" si="24"/>
        <v>0.7</v>
      </c>
      <c r="G16" s="199">
        <f t="shared" si="25"/>
        <v>0.7</v>
      </c>
      <c r="H16" s="199">
        <f t="shared" si="26"/>
        <v>0.79999999999999993</v>
      </c>
      <c r="I16" s="205">
        <f t="shared" si="27"/>
        <v>0.79999999999999993</v>
      </c>
      <c r="J16" s="205">
        <f t="shared" si="28"/>
        <v>0.87</v>
      </c>
      <c r="K16" s="205">
        <f t="shared" si="29"/>
        <v>0.87</v>
      </c>
      <c r="L16" s="68">
        <f t="shared" si="8"/>
        <v>176061.07916535987</v>
      </c>
      <c r="M16" s="68">
        <f t="shared" si="9"/>
        <v>169080.86167300213</v>
      </c>
      <c r="N16" s="68">
        <f t="shared" si="10"/>
        <v>5341.3566332118971</v>
      </c>
      <c r="O16" s="68">
        <f t="shared" si="11"/>
        <v>1638.8608591458512</v>
      </c>
      <c r="P16" s="68">
        <f t="shared" si="12"/>
        <v>20750343.480792001</v>
      </c>
      <c r="Q16" s="68">
        <f>'5.1.1 Nakłady_razem'!BL14</f>
        <v>5572355.2026357334</v>
      </c>
      <c r="R16" s="68">
        <f>'5.1.1 Nakłady_razem'!BM14</f>
        <v>3847251.5880888002</v>
      </c>
      <c r="S16" s="68">
        <f>'5.1.1 Nakłady_razem'!BN14</f>
        <v>11330736.690067466</v>
      </c>
      <c r="T16" s="200">
        <f t="shared" si="0"/>
        <v>32.956747129740322</v>
      </c>
      <c r="U16" s="200">
        <f t="shared" si="1"/>
        <v>720.27611190892299</v>
      </c>
      <c r="V16" s="200">
        <f t="shared" si="2"/>
        <v>6913.788090572174</v>
      </c>
      <c r="W16" s="199">
        <v>0.18</v>
      </c>
      <c r="X16" s="199">
        <v>0.16</v>
      </c>
      <c r="Y16" s="69">
        <f t="shared" si="13"/>
        <v>28169.772666457582</v>
      </c>
      <c r="Z16" s="68">
        <f t="shared" si="14"/>
        <v>27052.937867680343</v>
      </c>
      <c r="AA16" s="69">
        <f t="shared" si="15"/>
        <v>854.6170613139036</v>
      </c>
      <c r="AB16" s="69">
        <f t="shared" si="16"/>
        <v>262.21773746333622</v>
      </c>
      <c r="AC16" s="201">
        <f t="shared" si="17"/>
        <v>3320.0549569267205</v>
      </c>
      <c r="AD16" s="202">
        <f t="shared" si="30"/>
        <v>891.57683242171731</v>
      </c>
      <c r="AE16" s="201">
        <f t="shared" si="31"/>
        <v>615.56025409420818</v>
      </c>
      <c r="AF16" s="201">
        <f t="shared" si="32"/>
        <v>1812.9178704107949</v>
      </c>
      <c r="AG16" s="199">
        <v>0.15</v>
      </c>
      <c r="AH16" s="199">
        <v>0.18</v>
      </c>
      <c r="AI16" s="201">
        <f t="shared" si="18"/>
        <v>5070.5590799623651</v>
      </c>
      <c r="AJ16" s="201">
        <f t="shared" si="33"/>
        <v>4869.5288161824619</v>
      </c>
      <c r="AK16" s="201">
        <f t="shared" si="34"/>
        <v>153.83107103650264</v>
      </c>
      <c r="AL16" s="201">
        <f t="shared" si="35"/>
        <v>47.199192743400516</v>
      </c>
      <c r="AM16" s="201">
        <f t="shared" si="19"/>
        <v>597.60989224680952</v>
      </c>
      <c r="AN16" s="201">
        <f t="shared" si="36"/>
        <v>160.48382983590912</v>
      </c>
      <c r="AO16" s="201">
        <f t="shared" si="37"/>
        <v>110.80084573695744</v>
      </c>
      <c r="AP16" s="201">
        <f t="shared" si="38"/>
        <v>326.32521667394303</v>
      </c>
      <c r="AQ16" s="199">
        <v>0.43</v>
      </c>
      <c r="AR16" s="199">
        <v>0.43</v>
      </c>
      <c r="AS16" s="201">
        <f t="shared" si="20"/>
        <v>2180.3404043838173</v>
      </c>
      <c r="AT16" s="202">
        <f t="shared" si="39"/>
        <v>2093.8973909584588</v>
      </c>
      <c r="AU16" s="201">
        <f t="shared" si="40"/>
        <v>66.147360545696131</v>
      </c>
      <c r="AV16" s="201">
        <f t="shared" si="41"/>
        <v>20.295652879662221</v>
      </c>
      <c r="AW16" s="201">
        <f t="shared" si="21"/>
        <v>256.97225366612815</v>
      </c>
      <c r="AX16" s="202">
        <f t="shared" si="42"/>
        <v>69.008046829440943</v>
      </c>
      <c r="AY16" s="201">
        <f t="shared" si="43"/>
        <v>47.644363666891699</v>
      </c>
      <c r="AZ16" s="201">
        <f t="shared" si="44"/>
        <v>140.31984316979552</v>
      </c>
      <c r="BA16" s="199">
        <v>0.8</v>
      </c>
      <c r="BB16" s="203">
        <v>1.5</v>
      </c>
      <c r="BC16" s="201">
        <f t="shared" si="45"/>
        <v>137.05186862193503</v>
      </c>
      <c r="BD16" s="202">
        <f t="shared" si="46"/>
        <v>36.804291642368504</v>
      </c>
      <c r="BE16" s="201">
        <f t="shared" si="47"/>
        <v>25.410327289008908</v>
      </c>
      <c r="BF16" s="201">
        <f t="shared" si="48"/>
        <v>74.837249690557613</v>
      </c>
      <c r="BG16" s="201">
        <f t="shared" si="49"/>
        <v>460.55802362487458</v>
      </c>
      <c r="BH16" s="202">
        <f t="shared" si="50"/>
        <v>123.67953819354062</v>
      </c>
      <c r="BI16" s="201">
        <f t="shared" si="51"/>
        <v>85.390518447948537</v>
      </c>
      <c r="BJ16" s="201">
        <f t="shared" si="52"/>
        <v>251.48796698338543</v>
      </c>
      <c r="BK16" s="201">
        <f t="shared" si="22"/>
        <v>597.60989224680964</v>
      </c>
      <c r="BL16" s="202">
        <f t="shared" si="23"/>
        <v>460.55802362487458</v>
      </c>
      <c r="BM16" s="204">
        <f t="shared" si="5"/>
        <v>137.05186862193503</v>
      </c>
      <c r="BN16" s="10"/>
      <c r="BO16" s="10"/>
      <c r="BP16" s="9"/>
    </row>
    <row r="17" spans="1:68" x14ac:dyDescent="0.3">
      <c r="A17" s="126" t="s">
        <v>14</v>
      </c>
      <c r="B17" s="63">
        <f t="shared" si="6"/>
        <v>57115.635926611641</v>
      </c>
      <c r="C17" s="63">
        <f>'5.1.3 Przeds. niefinansowe'!V18</f>
        <v>55445.64910856865</v>
      </c>
      <c r="D17" s="63">
        <f>'5.1.3 Przeds. niefinansowe'!W18</f>
        <v>1318.0501599414922</v>
      </c>
      <c r="E17" s="63">
        <f>'5.1.3 Przeds. niefinansowe'!X18</f>
        <v>351.93665810149929</v>
      </c>
      <c r="F17" s="199">
        <f t="shared" si="24"/>
        <v>0.7</v>
      </c>
      <c r="G17" s="199">
        <f t="shared" si="25"/>
        <v>0.7</v>
      </c>
      <c r="H17" s="199">
        <f t="shared" si="26"/>
        <v>0.79999999999999993</v>
      </c>
      <c r="I17" s="205">
        <f t="shared" si="27"/>
        <v>0.79999999999999993</v>
      </c>
      <c r="J17" s="205">
        <f t="shared" si="28"/>
        <v>0.87</v>
      </c>
      <c r="K17" s="205">
        <f t="shared" si="29"/>
        <v>0.87</v>
      </c>
      <c r="L17" s="68">
        <f t="shared" si="8"/>
        <v>40172.579396499554</v>
      </c>
      <c r="M17" s="68">
        <f t="shared" si="9"/>
        <v>38811.954375998052</v>
      </c>
      <c r="N17" s="68">
        <f t="shared" si="10"/>
        <v>1054.4401279531937</v>
      </c>
      <c r="O17" s="68">
        <f t="shared" si="11"/>
        <v>306.18489254830439</v>
      </c>
      <c r="P17" s="68">
        <f t="shared" si="12"/>
        <v>3339230.436234667</v>
      </c>
      <c r="Q17" s="68">
        <f>'5.1.1 Nakłady_razem'!BL15</f>
        <v>1330690.9797770667</v>
      </c>
      <c r="R17" s="68">
        <f>'5.1.1 Nakłady_razem'!BM15</f>
        <v>788260.87074479996</v>
      </c>
      <c r="S17" s="68">
        <f>'5.1.1 Nakłady_razem'!BN15</f>
        <v>1220278.5857128003</v>
      </c>
      <c r="T17" s="200">
        <f t="shared" si="0"/>
        <v>34.285595795711529</v>
      </c>
      <c r="U17" s="200">
        <f t="shared" si="1"/>
        <v>747.56342237744445</v>
      </c>
      <c r="V17" s="200">
        <f t="shared" si="2"/>
        <v>3985.4304226335612</v>
      </c>
      <c r="W17" s="199">
        <v>0.18</v>
      </c>
      <c r="X17" s="199">
        <v>0.16</v>
      </c>
      <c r="Y17" s="69">
        <f t="shared" si="13"/>
        <v>6427.6127034399278</v>
      </c>
      <c r="Z17" s="68">
        <f t="shared" si="14"/>
        <v>6209.912700159688</v>
      </c>
      <c r="AA17" s="69">
        <f t="shared" si="15"/>
        <v>168.710420472511</v>
      </c>
      <c r="AB17" s="69">
        <f t="shared" si="16"/>
        <v>48.989582807728702</v>
      </c>
      <c r="AC17" s="201">
        <f t="shared" si="17"/>
        <v>534.27686979754662</v>
      </c>
      <c r="AD17" s="202">
        <f t="shared" si="30"/>
        <v>212.91055676433064</v>
      </c>
      <c r="AE17" s="201">
        <f t="shared" si="31"/>
        <v>126.121739319168</v>
      </c>
      <c r="AF17" s="201">
        <f t="shared" si="32"/>
        <v>195.24457371404804</v>
      </c>
      <c r="AG17" s="199">
        <v>0.15</v>
      </c>
      <c r="AH17" s="199">
        <v>0.18</v>
      </c>
      <c r="AI17" s="201">
        <f t="shared" si="18"/>
        <v>1156.9702866191869</v>
      </c>
      <c r="AJ17" s="201">
        <f t="shared" si="33"/>
        <v>1117.7842860287437</v>
      </c>
      <c r="AK17" s="201">
        <f t="shared" si="34"/>
        <v>30.367875685051981</v>
      </c>
      <c r="AL17" s="201">
        <f t="shared" si="35"/>
        <v>8.8181249053911657</v>
      </c>
      <c r="AM17" s="201">
        <f t="shared" si="19"/>
        <v>96.169836563558391</v>
      </c>
      <c r="AN17" s="201">
        <f t="shared" si="36"/>
        <v>38.323900217579514</v>
      </c>
      <c r="AO17" s="201">
        <f t="shared" si="37"/>
        <v>22.701913077450239</v>
      </c>
      <c r="AP17" s="201">
        <f t="shared" si="38"/>
        <v>35.144023268528649</v>
      </c>
      <c r="AQ17" s="199">
        <v>0.43</v>
      </c>
      <c r="AR17" s="199">
        <v>0.43</v>
      </c>
      <c r="AS17" s="201">
        <f t="shared" si="20"/>
        <v>497.49722324625031</v>
      </c>
      <c r="AT17" s="202">
        <f t="shared" si="39"/>
        <v>480.64724299235979</v>
      </c>
      <c r="AU17" s="201">
        <f t="shared" si="40"/>
        <v>13.058186544572351</v>
      </c>
      <c r="AV17" s="201">
        <f t="shared" si="41"/>
        <v>3.7917937093182013</v>
      </c>
      <c r="AW17" s="201">
        <f t="shared" si="21"/>
        <v>41.353029722330106</v>
      </c>
      <c r="AX17" s="202">
        <f t="shared" si="42"/>
        <v>16.479277093559187</v>
      </c>
      <c r="AY17" s="201">
        <f t="shared" si="43"/>
        <v>9.761822623303603</v>
      </c>
      <c r="AZ17" s="201">
        <f t="shared" si="44"/>
        <v>15.111930005467316</v>
      </c>
      <c r="BA17" s="199">
        <v>0.8</v>
      </c>
      <c r="BB17" s="203">
        <v>1.5</v>
      </c>
      <c r="BC17" s="201">
        <f t="shared" si="45"/>
        <v>22.054949185242727</v>
      </c>
      <c r="BD17" s="202">
        <f t="shared" si="46"/>
        <v>8.788947783231567</v>
      </c>
      <c r="BE17" s="201">
        <f t="shared" si="47"/>
        <v>5.206305399095255</v>
      </c>
      <c r="BF17" s="201">
        <f t="shared" si="48"/>
        <v>8.0596960029159028</v>
      </c>
      <c r="BG17" s="201">
        <f t="shared" si="49"/>
        <v>74.114887378315672</v>
      </c>
      <c r="BH17" s="202">
        <f t="shared" si="50"/>
        <v>29.534952434347947</v>
      </c>
      <c r="BI17" s="201">
        <f t="shared" si="51"/>
        <v>17.495607678354986</v>
      </c>
      <c r="BJ17" s="201">
        <f t="shared" si="52"/>
        <v>27.084327265612746</v>
      </c>
      <c r="BK17" s="201">
        <f t="shared" si="22"/>
        <v>96.169836563558391</v>
      </c>
      <c r="BL17" s="202">
        <f t="shared" si="23"/>
        <v>74.114887378315672</v>
      </c>
      <c r="BM17" s="204">
        <f t="shared" si="5"/>
        <v>22.054949185242727</v>
      </c>
      <c r="BN17" s="10"/>
      <c r="BO17" s="10"/>
      <c r="BP17" s="9"/>
    </row>
    <row r="18" spans="1:68" x14ac:dyDescent="0.3">
      <c r="A18" s="126" t="s">
        <v>15</v>
      </c>
      <c r="B18" s="63">
        <f t="shared" si="6"/>
        <v>65080.279392683689</v>
      </c>
      <c r="C18" s="63">
        <f>'5.1.3 Przeds. niefinansowe'!V19</f>
        <v>63274.082746425745</v>
      </c>
      <c r="D18" s="63">
        <f>'5.1.3 Przeds. niefinansowe'!W19</f>
        <v>1376.6508924675245</v>
      </c>
      <c r="E18" s="63">
        <f>'5.1.3 Przeds. niefinansowe'!X19</f>
        <v>429.54575379042217</v>
      </c>
      <c r="F18" s="199">
        <f t="shared" si="24"/>
        <v>0.7</v>
      </c>
      <c r="G18" s="199">
        <f t="shared" si="25"/>
        <v>0.7</v>
      </c>
      <c r="H18" s="199">
        <f t="shared" si="26"/>
        <v>0.79999999999999993</v>
      </c>
      <c r="I18" s="205">
        <f t="shared" si="27"/>
        <v>0.79999999999999993</v>
      </c>
      <c r="J18" s="205">
        <f t="shared" si="28"/>
        <v>0.87</v>
      </c>
      <c r="K18" s="205">
        <f t="shared" si="29"/>
        <v>0.87</v>
      </c>
      <c r="L18" s="68">
        <f t="shared" si="8"/>
        <v>45766.883442269704</v>
      </c>
      <c r="M18" s="68">
        <f t="shared" si="9"/>
        <v>44291.85792249802</v>
      </c>
      <c r="N18" s="68">
        <f t="shared" si="10"/>
        <v>1101.3207139740196</v>
      </c>
      <c r="O18" s="68">
        <f t="shared" si="11"/>
        <v>373.70480579766729</v>
      </c>
      <c r="P18" s="68">
        <f t="shared" si="12"/>
        <v>4007145.0286039999</v>
      </c>
      <c r="Q18" s="68">
        <f>'5.1.1 Nakłady_razem'!BL16</f>
        <v>1434336.2279808</v>
      </c>
      <c r="R18" s="68">
        <f>'5.1.1 Nakłady_razem'!BM16</f>
        <v>888304.80023893341</v>
      </c>
      <c r="S18" s="68">
        <f>'5.1.1 Nakłady_razem'!BN16</f>
        <v>1684504.0003842667</v>
      </c>
      <c r="T18" s="200">
        <f t="shared" si="0"/>
        <v>32.383744897100598</v>
      </c>
      <c r="U18" s="200">
        <f t="shared" si="1"/>
        <v>806.58139719679218</v>
      </c>
      <c r="V18" s="200">
        <f t="shared" si="2"/>
        <v>4507.5791754636875</v>
      </c>
      <c r="W18" s="199">
        <v>0.18</v>
      </c>
      <c r="X18" s="199">
        <v>0.16</v>
      </c>
      <c r="Y18" s="69">
        <f t="shared" si="13"/>
        <v>7322.7013507631527</v>
      </c>
      <c r="Z18" s="68">
        <f t="shared" si="14"/>
        <v>7086.6972675996831</v>
      </c>
      <c r="AA18" s="69">
        <f t="shared" si="15"/>
        <v>176.21131423584313</v>
      </c>
      <c r="AB18" s="69">
        <f t="shared" si="16"/>
        <v>59.792768927626767</v>
      </c>
      <c r="AC18" s="201">
        <f t="shared" si="17"/>
        <v>641.14320457664007</v>
      </c>
      <c r="AD18" s="202">
        <f t="shared" si="30"/>
        <v>229.493796476928</v>
      </c>
      <c r="AE18" s="201">
        <f t="shared" si="31"/>
        <v>142.12876803822934</v>
      </c>
      <c r="AF18" s="201">
        <f t="shared" si="32"/>
        <v>269.52064006148265</v>
      </c>
      <c r="AG18" s="199">
        <v>0.15</v>
      </c>
      <c r="AH18" s="199">
        <v>0.18</v>
      </c>
      <c r="AI18" s="201">
        <f t="shared" si="18"/>
        <v>1318.0862431373673</v>
      </c>
      <c r="AJ18" s="201">
        <f t="shared" si="33"/>
        <v>1275.6055081679428</v>
      </c>
      <c r="AK18" s="201">
        <f t="shared" si="34"/>
        <v>31.718036562451761</v>
      </c>
      <c r="AL18" s="201">
        <f t="shared" si="35"/>
        <v>10.762698406972818</v>
      </c>
      <c r="AM18" s="201">
        <f t="shared" si="19"/>
        <v>115.40577682379519</v>
      </c>
      <c r="AN18" s="201">
        <f t="shared" si="36"/>
        <v>41.308883365847031</v>
      </c>
      <c r="AO18" s="201">
        <f t="shared" si="37"/>
        <v>25.583178246881282</v>
      </c>
      <c r="AP18" s="201">
        <f t="shared" si="38"/>
        <v>48.513715211066881</v>
      </c>
      <c r="AQ18" s="199">
        <v>0.43</v>
      </c>
      <c r="AR18" s="199">
        <v>0.43</v>
      </c>
      <c r="AS18" s="201">
        <f t="shared" si="20"/>
        <v>566.77708454906804</v>
      </c>
      <c r="AT18" s="202">
        <f t="shared" si="39"/>
        <v>548.51036851221545</v>
      </c>
      <c r="AU18" s="201">
        <f t="shared" si="40"/>
        <v>13.638755721854258</v>
      </c>
      <c r="AV18" s="201">
        <f t="shared" si="41"/>
        <v>4.6279603149983117</v>
      </c>
      <c r="AW18" s="201">
        <f t="shared" si="21"/>
        <v>49.624484034231934</v>
      </c>
      <c r="AX18" s="202">
        <f t="shared" si="42"/>
        <v>17.762819847314226</v>
      </c>
      <c r="AY18" s="201">
        <f t="shared" si="43"/>
        <v>11.000766646158951</v>
      </c>
      <c r="AZ18" s="201">
        <f t="shared" si="44"/>
        <v>20.860897540758756</v>
      </c>
      <c r="BA18" s="199">
        <v>0.8</v>
      </c>
      <c r="BB18" s="203">
        <v>1.5</v>
      </c>
      <c r="BC18" s="201">
        <f t="shared" si="45"/>
        <v>26.466391484923697</v>
      </c>
      <c r="BD18" s="202">
        <f t="shared" si="46"/>
        <v>9.4735039185675873</v>
      </c>
      <c r="BE18" s="201">
        <f t="shared" si="47"/>
        <v>5.8670755446181069</v>
      </c>
      <c r="BF18" s="201">
        <f t="shared" si="48"/>
        <v>11.125812021738005</v>
      </c>
      <c r="BG18" s="201">
        <f t="shared" si="49"/>
        <v>88.939385338871489</v>
      </c>
      <c r="BH18" s="202">
        <f t="shared" si="50"/>
        <v>31.835379447279443</v>
      </c>
      <c r="BI18" s="201">
        <f t="shared" si="51"/>
        <v>19.716102702263175</v>
      </c>
      <c r="BJ18" s="201">
        <f t="shared" si="52"/>
        <v>37.387903189328874</v>
      </c>
      <c r="BK18" s="201">
        <f t="shared" si="22"/>
        <v>115.40577682379518</v>
      </c>
      <c r="BL18" s="202">
        <f t="shared" si="23"/>
        <v>88.939385338871489</v>
      </c>
      <c r="BM18" s="204">
        <f t="shared" si="5"/>
        <v>26.466391484923697</v>
      </c>
      <c r="BN18" s="10"/>
      <c r="BO18" s="10"/>
      <c r="BP18" s="9"/>
    </row>
    <row r="19" spans="1:68" s="320" customFormat="1" x14ac:dyDescent="0.3">
      <c r="A19" s="321" t="s">
        <v>16</v>
      </c>
      <c r="B19" s="322">
        <f t="shared" si="6"/>
        <v>240309.43487970656</v>
      </c>
      <c r="C19" s="322">
        <f>'5.1.3 Przeds. niefinansowe'!V20</f>
        <v>233135.00036557156</v>
      </c>
      <c r="D19" s="322">
        <f>'5.1.3 Przeds. niefinansowe'!W20</f>
        <v>5520.8451731927071</v>
      </c>
      <c r="E19" s="322">
        <f>'5.1.3 Przeds. niefinansowe'!X20</f>
        <v>1653.5893409423088</v>
      </c>
      <c r="F19" s="284">
        <f t="shared" si="24"/>
        <v>0.7</v>
      </c>
      <c r="G19" s="284">
        <f t="shared" si="25"/>
        <v>0.7</v>
      </c>
      <c r="H19" s="284">
        <f t="shared" si="26"/>
        <v>0.79999999999999993</v>
      </c>
      <c r="I19" s="323">
        <f t="shared" si="27"/>
        <v>0.79999999999999993</v>
      </c>
      <c r="J19" s="323">
        <f t="shared" si="28"/>
        <v>0.87</v>
      </c>
      <c r="K19" s="323">
        <f t="shared" si="29"/>
        <v>0.87</v>
      </c>
      <c r="L19" s="324">
        <f t="shared" si="8"/>
        <v>169049.79912107406</v>
      </c>
      <c r="M19" s="324">
        <f t="shared" si="9"/>
        <v>163194.50025590009</v>
      </c>
      <c r="N19" s="324">
        <f t="shared" si="10"/>
        <v>4416.6761385541649</v>
      </c>
      <c r="O19" s="324">
        <f t="shared" si="11"/>
        <v>1438.6227266198086</v>
      </c>
      <c r="P19" s="324">
        <f t="shared" si="12"/>
        <v>19170174.963601332</v>
      </c>
      <c r="Q19" s="324">
        <f>'5.1.1 Nakłady_razem'!BL17</f>
        <v>8354456.791412266</v>
      </c>
      <c r="R19" s="324">
        <f>'5.1.1 Nakłady_razem'!BM17</f>
        <v>3844627.2696965337</v>
      </c>
      <c r="S19" s="324">
        <f>'5.1.1 Nakłady_razem'!BN17</f>
        <v>6971090.9024925325</v>
      </c>
      <c r="T19" s="325">
        <f t="shared" si="0"/>
        <v>51.193249639613526</v>
      </c>
      <c r="U19" s="325">
        <f t="shared" si="1"/>
        <v>870.47977915698027</v>
      </c>
      <c r="V19" s="325">
        <f t="shared" si="2"/>
        <v>4845.6699407716333</v>
      </c>
      <c r="W19" s="284">
        <v>0.18</v>
      </c>
      <c r="X19" s="284">
        <v>0.16</v>
      </c>
      <c r="Y19" s="326">
        <f t="shared" si="13"/>
        <v>27047.967859371849</v>
      </c>
      <c r="Z19" s="324">
        <f t="shared" si="14"/>
        <v>26111.120040944013</v>
      </c>
      <c r="AA19" s="326">
        <f t="shared" si="15"/>
        <v>706.66818216866636</v>
      </c>
      <c r="AB19" s="326">
        <f t="shared" si="16"/>
        <v>230.1796362591694</v>
      </c>
      <c r="AC19" s="327">
        <f t="shared" si="17"/>
        <v>3067.2279941762135</v>
      </c>
      <c r="AD19" s="328">
        <f t="shared" si="30"/>
        <v>1336.7130866259627</v>
      </c>
      <c r="AE19" s="327">
        <f t="shared" si="31"/>
        <v>615.1403631514454</v>
      </c>
      <c r="AF19" s="327">
        <f t="shared" si="32"/>
        <v>1115.3745443988053</v>
      </c>
      <c r="AG19" s="284">
        <v>0.15</v>
      </c>
      <c r="AH19" s="284">
        <v>0.18</v>
      </c>
      <c r="AI19" s="327">
        <f t="shared" si="18"/>
        <v>4868.6342146869329</v>
      </c>
      <c r="AJ19" s="327">
        <f t="shared" si="33"/>
        <v>4700.0016073699226</v>
      </c>
      <c r="AK19" s="327">
        <f t="shared" si="34"/>
        <v>127.20027279035995</v>
      </c>
      <c r="AL19" s="327">
        <f t="shared" si="35"/>
        <v>41.432334526650493</v>
      </c>
      <c r="AM19" s="327">
        <f t="shared" si="19"/>
        <v>552.10103895171846</v>
      </c>
      <c r="AN19" s="327">
        <f t="shared" si="36"/>
        <v>240.60835559267329</v>
      </c>
      <c r="AO19" s="327">
        <f t="shared" si="37"/>
        <v>110.72526536726018</v>
      </c>
      <c r="AP19" s="327">
        <f t="shared" si="38"/>
        <v>200.76741799178498</v>
      </c>
      <c r="AQ19" s="284">
        <v>0.43</v>
      </c>
      <c r="AR19" s="284">
        <v>0.43</v>
      </c>
      <c r="AS19" s="327">
        <f t="shared" si="20"/>
        <v>2093.5127123153811</v>
      </c>
      <c r="AT19" s="328">
        <f t="shared" si="39"/>
        <v>2021.0006911690666</v>
      </c>
      <c r="AU19" s="327">
        <f t="shared" si="40"/>
        <v>54.696117299854777</v>
      </c>
      <c r="AV19" s="327">
        <f t="shared" si="41"/>
        <v>17.815903846459712</v>
      </c>
      <c r="AW19" s="327">
        <f t="shared" si="21"/>
        <v>237.40344674923892</v>
      </c>
      <c r="AX19" s="328">
        <f t="shared" si="42"/>
        <v>103.4615929048495</v>
      </c>
      <c r="AY19" s="327">
        <f t="shared" si="43"/>
        <v>47.611864107921875</v>
      </c>
      <c r="AZ19" s="327">
        <f t="shared" si="44"/>
        <v>86.329989736467539</v>
      </c>
      <c r="BA19" s="284">
        <v>0.8</v>
      </c>
      <c r="BB19" s="329">
        <v>1.5</v>
      </c>
      <c r="BC19" s="327">
        <f t="shared" si="45"/>
        <v>126.61517159959411</v>
      </c>
      <c r="BD19" s="328">
        <f t="shared" si="46"/>
        <v>55.179516215919733</v>
      </c>
      <c r="BE19" s="327">
        <f t="shared" si="47"/>
        <v>25.392994190891667</v>
      </c>
      <c r="BF19" s="327">
        <f t="shared" si="48"/>
        <v>46.042661192782695</v>
      </c>
      <c r="BG19" s="327">
        <f t="shared" si="49"/>
        <v>425.48586735212439</v>
      </c>
      <c r="BH19" s="328">
        <f t="shared" si="50"/>
        <v>185.42883937675356</v>
      </c>
      <c r="BI19" s="327">
        <f t="shared" si="51"/>
        <v>85.332271176368508</v>
      </c>
      <c r="BJ19" s="327">
        <f t="shared" si="52"/>
        <v>154.72475679900228</v>
      </c>
      <c r="BK19" s="327">
        <f t="shared" si="22"/>
        <v>552.10103895171846</v>
      </c>
      <c r="BL19" s="328">
        <f t="shared" si="23"/>
        <v>425.48586735212439</v>
      </c>
      <c r="BM19" s="330">
        <f t="shared" si="5"/>
        <v>126.61517159959411</v>
      </c>
      <c r="BN19" s="331"/>
      <c r="BO19" s="331"/>
      <c r="BP19" s="332"/>
    </row>
    <row r="20" spans="1:68" x14ac:dyDescent="0.3">
      <c r="A20" s="129" t="s">
        <v>17</v>
      </c>
      <c r="B20" s="206">
        <f t="shared" si="6"/>
        <v>110515.8723831884</v>
      </c>
      <c r="C20" s="206">
        <f>'5.1.3 Przeds. niefinansowe'!V21</f>
        <v>108026.34772530376</v>
      </c>
      <c r="D20" s="206">
        <f>'5.1.3 Przeds. niefinansowe'!W21</f>
        <v>1922.1930952158987</v>
      </c>
      <c r="E20" s="206">
        <f>'5.1.3 Przeds. niefinansowe'!X21</f>
        <v>567.33156266873743</v>
      </c>
      <c r="F20" s="199">
        <f t="shared" si="24"/>
        <v>0.7</v>
      </c>
      <c r="G20" s="199">
        <f t="shared" si="25"/>
        <v>0.7</v>
      </c>
      <c r="H20" s="199">
        <f t="shared" si="26"/>
        <v>0.79999999999999993</v>
      </c>
      <c r="I20" s="205">
        <f t="shared" si="27"/>
        <v>0.79999999999999993</v>
      </c>
      <c r="J20" s="205">
        <f t="shared" si="28"/>
        <v>0.87</v>
      </c>
      <c r="K20" s="205">
        <f t="shared" si="29"/>
        <v>0.87</v>
      </c>
      <c r="L20" s="51">
        <f t="shared" si="8"/>
        <v>77649.776343407138</v>
      </c>
      <c r="M20" s="51">
        <f t="shared" si="9"/>
        <v>75618.443407712621</v>
      </c>
      <c r="N20" s="51">
        <f t="shared" si="10"/>
        <v>1537.7544761727188</v>
      </c>
      <c r="O20" s="51">
        <f t="shared" si="11"/>
        <v>493.57845952180156</v>
      </c>
      <c r="P20" s="51">
        <f t="shared" si="12"/>
        <v>7995447.2382733347</v>
      </c>
      <c r="Q20" s="51">
        <f>'5.1.1 Nakłady_razem'!BL18</f>
        <v>3640779.9075008007</v>
      </c>
      <c r="R20" s="51">
        <f>'5.1.1 Nakłady_razem'!BM18</f>
        <v>1542518.7060376001</v>
      </c>
      <c r="S20" s="51">
        <f>'5.1.1 Nakłady_razem'!BN18</f>
        <v>2812148.6247349335</v>
      </c>
      <c r="T20" s="207">
        <f t="shared" si="0"/>
        <v>48.146718491291544</v>
      </c>
      <c r="U20" s="207">
        <f t="shared" si="1"/>
        <v>1003.0981733031523</v>
      </c>
      <c r="V20" s="207">
        <f t="shared" si="2"/>
        <v>5697.470322062788</v>
      </c>
      <c r="W20" s="199">
        <v>0.18</v>
      </c>
      <c r="X20" s="199">
        <v>0.16</v>
      </c>
      <c r="Y20" s="208">
        <f t="shared" si="13"/>
        <v>12423.964214945143</v>
      </c>
      <c r="Z20" s="51">
        <f t="shared" si="14"/>
        <v>12098.950945234019</v>
      </c>
      <c r="AA20" s="208">
        <f t="shared" si="15"/>
        <v>246.04071618763501</v>
      </c>
      <c r="AB20" s="208">
        <f t="shared" si="16"/>
        <v>78.972553523488259</v>
      </c>
      <c r="AC20" s="209">
        <f t="shared" si="17"/>
        <v>1279.2715581237335</v>
      </c>
      <c r="AD20" s="210">
        <f t="shared" si="30"/>
        <v>582.52478520012812</v>
      </c>
      <c r="AE20" s="209">
        <f t="shared" si="31"/>
        <v>246.80299296601603</v>
      </c>
      <c r="AF20" s="209">
        <f t="shared" si="32"/>
        <v>449.94377995758941</v>
      </c>
      <c r="AG20" s="199">
        <v>0.15</v>
      </c>
      <c r="AH20" s="199">
        <v>0.18</v>
      </c>
      <c r="AI20" s="209">
        <f t="shared" si="18"/>
        <v>2236.3135586901258</v>
      </c>
      <c r="AJ20" s="209">
        <f t="shared" si="33"/>
        <v>2177.8111701421235</v>
      </c>
      <c r="AK20" s="209">
        <f t="shared" si="34"/>
        <v>44.287328913774303</v>
      </c>
      <c r="AL20" s="209">
        <f t="shared" si="35"/>
        <v>14.215059634227886</v>
      </c>
      <c r="AM20" s="209">
        <f t="shared" si="19"/>
        <v>230.26888046227202</v>
      </c>
      <c r="AN20" s="209">
        <f t="shared" si="36"/>
        <v>104.85446133602306</v>
      </c>
      <c r="AO20" s="209">
        <f t="shared" si="37"/>
        <v>44.424538733882883</v>
      </c>
      <c r="AP20" s="209">
        <f t="shared" si="38"/>
        <v>80.989880392366089</v>
      </c>
      <c r="AQ20" s="199">
        <v>0.43</v>
      </c>
      <c r="AR20" s="199">
        <v>0.43</v>
      </c>
      <c r="AS20" s="209">
        <f t="shared" si="20"/>
        <v>961.61483023675407</v>
      </c>
      <c r="AT20" s="210">
        <f t="shared" si="39"/>
        <v>936.45880316111311</v>
      </c>
      <c r="AU20" s="209">
        <f t="shared" si="40"/>
        <v>19.04355143292295</v>
      </c>
      <c r="AV20" s="209">
        <f t="shared" si="41"/>
        <v>6.1124756427179907</v>
      </c>
      <c r="AW20" s="209">
        <f t="shared" si="21"/>
        <v>99.015618598776967</v>
      </c>
      <c r="AX20" s="210">
        <f t="shared" si="42"/>
        <v>45.087418374489914</v>
      </c>
      <c r="AY20" s="209">
        <f t="shared" si="43"/>
        <v>19.102551655569638</v>
      </c>
      <c r="AZ20" s="209">
        <f t="shared" si="44"/>
        <v>34.825648568717419</v>
      </c>
      <c r="BA20" s="199">
        <v>0.8</v>
      </c>
      <c r="BB20" s="203">
        <v>1.5</v>
      </c>
      <c r="BC20" s="209">
        <f t="shared" si="45"/>
        <v>52.80832991934772</v>
      </c>
      <c r="BD20" s="210">
        <f t="shared" si="46"/>
        <v>24.046623133061289</v>
      </c>
      <c r="BE20" s="209">
        <f t="shared" si="47"/>
        <v>10.188027549637141</v>
      </c>
      <c r="BF20" s="209">
        <f t="shared" si="48"/>
        <v>18.573679236649291</v>
      </c>
      <c r="BG20" s="209">
        <f t="shared" si="49"/>
        <v>177.46055054292432</v>
      </c>
      <c r="BH20" s="210">
        <f t="shared" si="50"/>
        <v>80.807838202961776</v>
      </c>
      <c r="BI20" s="209">
        <f t="shared" si="51"/>
        <v>34.236511184245742</v>
      </c>
      <c r="BJ20" s="209">
        <f t="shared" si="52"/>
        <v>62.416201155716799</v>
      </c>
      <c r="BK20" s="209">
        <f t="shared" si="22"/>
        <v>230.26888046227205</v>
      </c>
      <c r="BL20" s="210">
        <f t="shared" si="23"/>
        <v>177.46055054292432</v>
      </c>
      <c r="BM20" s="211">
        <f t="shared" si="5"/>
        <v>52.80832991934772</v>
      </c>
      <c r="BN20" s="10"/>
      <c r="BO20" s="10"/>
      <c r="BP20" s="9"/>
    </row>
    <row r="23" spans="1:68" x14ac:dyDescent="0.3">
      <c r="A23" s="261" t="s">
        <v>387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0"/>
    </row>
    <row r="25" spans="1:68" x14ac:dyDescent="0.3">
      <c r="A25" s="261" t="s">
        <v>388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262"/>
      <c r="N25" s="262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0"/>
    </row>
    <row r="27" spans="1:68" x14ac:dyDescent="0.3">
      <c r="A27" s="261" t="s">
        <v>389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0"/>
    </row>
    <row r="29" spans="1:68" x14ac:dyDescent="0.3">
      <c r="A29" s="261" t="s">
        <v>390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0"/>
    </row>
    <row r="31" spans="1:68" x14ac:dyDescent="0.3">
      <c r="A31" s="261" t="s">
        <v>391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0"/>
    </row>
    <row r="33" spans="1:65" x14ac:dyDescent="0.3">
      <c r="A33" s="261" t="s">
        <v>392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0"/>
    </row>
  </sheetData>
  <pageMargins left="0.7" right="0.7" top="0.75" bottom="0.75" header="0.3" footer="0.3"/>
  <pageSetup paperSize="9" orientation="portrait" horizontalDpi="4294967294" verticalDpi="4294967294" r:id="rId1"/>
  <legacy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F18"/>
  <sheetViews>
    <sheetView zoomScale="90" zoomScaleNormal="90" workbookViewId="0">
      <pane xSplit="1" topLeftCell="B1" activePane="topRight" state="frozen"/>
      <selection pane="topRight" activeCell="S1" sqref="S1"/>
    </sheetView>
  </sheetViews>
  <sheetFormatPr defaultRowHeight="14.4" x14ac:dyDescent="0.3"/>
  <cols>
    <col min="1" max="1" width="16.109375" customWidth="1"/>
    <col min="2" max="2" width="25.109375" customWidth="1"/>
    <col min="3" max="5" width="11.88671875" customWidth="1"/>
    <col min="6" max="6" width="17.33203125" customWidth="1"/>
    <col min="7" max="7" width="27.5546875" customWidth="1"/>
    <col min="8" max="10" width="11.88671875" customWidth="1"/>
    <col min="11" max="11" width="16.33203125" style="2" customWidth="1"/>
    <col min="12" max="12" width="23" customWidth="1"/>
    <col min="13" max="14" width="12.33203125" customWidth="1"/>
    <col min="15" max="15" width="13.109375" customWidth="1"/>
    <col min="16" max="16" width="17.109375" customWidth="1"/>
    <col min="17" max="17" width="12.5546875" customWidth="1"/>
    <col min="18" max="18" width="15" customWidth="1"/>
    <col min="19" max="19" width="21.109375" customWidth="1"/>
    <col min="20" max="22" width="13" customWidth="1"/>
    <col min="23" max="23" width="20.88671875" customWidth="1"/>
    <col min="24" max="26" width="13" customWidth="1"/>
    <col min="27" max="27" width="26.109375" customWidth="1"/>
    <col min="28" max="30" width="13" customWidth="1"/>
    <col min="32" max="32" width="10.6640625" customWidth="1"/>
  </cols>
  <sheetData>
    <row r="1" spans="1:32" ht="60.75" customHeight="1" x14ac:dyDescent="0.3">
      <c r="A1" s="218" t="s">
        <v>122</v>
      </c>
      <c r="B1" s="218" t="s">
        <v>143</v>
      </c>
      <c r="C1" s="218" t="s">
        <v>20</v>
      </c>
      <c r="D1" s="218" t="s">
        <v>21</v>
      </c>
      <c r="E1" s="218" t="s">
        <v>22</v>
      </c>
      <c r="F1" s="218" t="s">
        <v>142</v>
      </c>
      <c r="G1" s="218" t="s">
        <v>152</v>
      </c>
      <c r="H1" s="218" t="s">
        <v>185</v>
      </c>
      <c r="I1" s="218" t="s">
        <v>186</v>
      </c>
      <c r="J1" s="218" t="s">
        <v>187</v>
      </c>
      <c r="K1" s="218" t="s">
        <v>144</v>
      </c>
      <c r="L1" s="80" t="s">
        <v>151</v>
      </c>
      <c r="M1" s="80" t="s">
        <v>191</v>
      </c>
      <c r="N1" s="80" t="s">
        <v>192</v>
      </c>
      <c r="O1" s="80" t="s">
        <v>193</v>
      </c>
      <c r="P1" s="80" t="s">
        <v>145</v>
      </c>
      <c r="Q1" s="80" t="s">
        <v>146</v>
      </c>
      <c r="R1" s="80" t="s">
        <v>132</v>
      </c>
      <c r="S1" s="80" t="s">
        <v>149</v>
      </c>
      <c r="T1" s="80" t="s">
        <v>197</v>
      </c>
      <c r="U1" s="80" t="s">
        <v>198</v>
      </c>
      <c r="V1" s="80" t="s">
        <v>199</v>
      </c>
      <c r="W1" s="80" t="s">
        <v>150</v>
      </c>
      <c r="X1" s="80" t="s">
        <v>203</v>
      </c>
      <c r="Y1" s="80" t="s">
        <v>204</v>
      </c>
      <c r="Z1" s="80" t="s">
        <v>205</v>
      </c>
      <c r="AA1" s="80" t="s">
        <v>367</v>
      </c>
      <c r="AB1" s="80" t="s">
        <v>209</v>
      </c>
      <c r="AC1" s="80" t="s">
        <v>210</v>
      </c>
      <c r="AD1" s="80" t="s">
        <v>211</v>
      </c>
      <c r="AE1" s="306" t="s">
        <v>422</v>
      </c>
    </row>
    <row r="2" spans="1:32" x14ac:dyDescent="0.3">
      <c r="A2" s="239"/>
      <c r="B2" s="240" t="s">
        <v>63</v>
      </c>
      <c r="C2" s="240" t="s">
        <v>20</v>
      </c>
      <c r="D2" s="240" t="s">
        <v>21</v>
      </c>
      <c r="E2" s="240" t="s">
        <v>22</v>
      </c>
      <c r="F2" s="240"/>
      <c r="G2" s="240" t="s">
        <v>63</v>
      </c>
      <c r="H2" s="240" t="s">
        <v>20</v>
      </c>
      <c r="I2" s="240" t="s">
        <v>21</v>
      </c>
      <c r="J2" s="241" t="s">
        <v>22</v>
      </c>
      <c r="K2" s="240"/>
      <c r="L2" s="242" t="s">
        <v>63</v>
      </c>
      <c r="M2" s="214" t="s">
        <v>20</v>
      </c>
      <c r="N2" s="214" t="s">
        <v>21</v>
      </c>
      <c r="O2" s="214" t="s">
        <v>22</v>
      </c>
      <c r="P2" s="214"/>
      <c r="Q2" s="214"/>
      <c r="R2" s="214"/>
      <c r="S2" s="214" t="s">
        <v>63</v>
      </c>
      <c r="T2" s="214" t="s">
        <v>20</v>
      </c>
      <c r="U2" s="214" t="s">
        <v>21</v>
      </c>
      <c r="V2" s="214" t="s">
        <v>22</v>
      </c>
      <c r="W2" s="214" t="s">
        <v>63</v>
      </c>
      <c r="X2" s="214" t="s">
        <v>20</v>
      </c>
      <c r="Y2" s="214" t="s">
        <v>21</v>
      </c>
      <c r="Z2" s="214" t="s">
        <v>22</v>
      </c>
      <c r="AA2" s="214" t="s">
        <v>63</v>
      </c>
      <c r="AB2" s="214" t="s">
        <v>20</v>
      </c>
      <c r="AC2" s="214" t="s">
        <v>21</v>
      </c>
      <c r="AD2" s="214" t="s">
        <v>22</v>
      </c>
      <c r="AE2" s="304"/>
    </row>
    <row r="3" spans="1:32" x14ac:dyDescent="0.3">
      <c r="A3" s="126">
        <v>2020</v>
      </c>
      <c r="B3" s="63">
        <f>SUM(C3:E3)</f>
        <v>184495.09551672265</v>
      </c>
      <c r="C3" s="63">
        <f>'5.1.1 Nakłady lata'!V2</f>
        <v>70949.506184128782</v>
      </c>
      <c r="D3" s="63">
        <f>'5.1.1 Nakłady lata'!W2</f>
        <v>35763.959965381597</v>
      </c>
      <c r="E3" s="63">
        <f>'5.1.1 Nakłady lata'!X2</f>
        <v>77781.629367212256</v>
      </c>
      <c r="F3" s="286">
        <v>0.43</v>
      </c>
      <c r="G3" s="229">
        <f>SUM(H3:J3)</f>
        <v>79332.891072190745</v>
      </c>
      <c r="H3" s="230">
        <f>C3*F3</f>
        <v>30508.287659175377</v>
      </c>
      <c r="I3" s="230">
        <f>D3*F3</f>
        <v>15378.502785114086</v>
      </c>
      <c r="J3" s="231">
        <f>E3*F3</f>
        <v>33446.100627901273</v>
      </c>
      <c r="K3" s="285">
        <v>0.18</v>
      </c>
      <c r="L3" s="233">
        <f>SUM(M3:O3)</f>
        <v>14279.920392994332</v>
      </c>
      <c r="M3" s="68">
        <f>H3*K3</f>
        <v>5491.491778651568</v>
      </c>
      <c r="N3" s="68">
        <f>I3*K3</f>
        <v>2768.1305013205351</v>
      </c>
      <c r="O3" s="68">
        <f>J3*K3</f>
        <v>6020.2981130222288</v>
      </c>
      <c r="P3" s="232">
        <v>0.43</v>
      </c>
      <c r="Q3" s="232">
        <v>0.8</v>
      </c>
      <c r="R3" s="234">
        <v>1.5</v>
      </c>
      <c r="S3" s="68">
        <f>SUM(T3:V3)</f>
        <v>3274.8617434600337</v>
      </c>
      <c r="T3" s="68">
        <f>(M3*P3*Q3)/R3</f>
        <v>1259.3821145707595</v>
      </c>
      <c r="U3" s="68">
        <f>(N3*P3*Q3)/R3</f>
        <v>634.82459496950946</v>
      </c>
      <c r="V3" s="68">
        <f>(O3*P3*Q3)/R3</f>
        <v>1380.6550339197647</v>
      </c>
      <c r="W3" s="68">
        <f>SUM(X3:Z3)</f>
        <v>11005.058649534298</v>
      </c>
      <c r="X3" s="68">
        <f>M3-T3</f>
        <v>4232.1096640808082</v>
      </c>
      <c r="Y3" s="68">
        <f>N3-U3</f>
        <v>2133.3059063510254</v>
      </c>
      <c r="Z3" s="68">
        <f>O3-V3</f>
        <v>4639.6430791024641</v>
      </c>
      <c r="AA3" s="68">
        <f>SUM(AB3:AD3)</f>
        <v>14279.920392994332</v>
      </c>
      <c r="AB3" s="68">
        <f>T3+X3</f>
        <v>5491.491778651568</v>
      </c>
      <c r="AC3" s="68">
        <f>U3+Y3</f>
        <v>2768.1305013205347</v>
      </c>
      <c r="AD3" s="68">
        <f>V3+Z3</f>
        <v>6020.2981130222288</v>
      </c>
      <c r="AE3" s="303">
        <v>1</v>
      </c>
      <c r="AF3" s="10"/>
    </row>
    <row r="4" spans="1:32" x14ac:dyDescent="0.3">
      <c r="A4" s="126">
        <v>2021</v>
      </c>
      <c r="B4" s="63">
        <f t="shared" ref="B4:B12" si="0">SUM(C4:E4)</f>
        <v>190778.97114133445</v>
      </c>
      <c r="C4" s="63">
        <f>'5.1.1 Nakłady lata'!V3</f>
        <v>73307.034181086652</v>
      </c>
      <c r="D4" s="63">
        <f>'5.1.1 Nakłady lata'!W3</f>
        <v>36999.816991055814</v>
      </c>
      <c r="E4" s="63">
        <f>'5.1.1 Nakłady lata'!X3</f>
        <v>80472.11996919199</v>
      </c>
      <c r="F4" s="286">
        <v>0.43</v>
      </c>
      <c r="G4" s="229">
        <f t="shared" ref="G4:G13" si="1">SUM(H4:J4)</f>
        <v>82034.957590773818</v>
      </c>
      <c r="H4" s="230">
        <f t="shared" ref="H4:H12" si="2">C4*F4</f>
        <v>31522.024697867259</v>
      </c>
      <c r="I4" s="230">
        <f t="shared" ref="I4:I12" si="3">D4*F4</f>
        <v>15909.921306153999</v>
      </c>
      <c r="J4" s="231">
        <f t="shared" ref="J4:J12" si="4">E4*F4</f>
        <v>34603.011586752553</v>
      </c>
      <c r="K4" s="232">
        <v>0.18</v>
      </c>
      <c r="L4" s="233">
        <f t="shared" ref="L4:L12" si="5">SUM(M4:O4)</f>
        <v>14766.292366339285</v>
      </c>
      <c r="M4" s="68">
        <f t="shared" ref="M4:M12" si="6">H4*K4</f>
        <v>5673.9644456161059</v>
      </c>
      <c r="N4" s="68">
        <f t="shared" ref="N4:N12" si="7">I4*K4</f>
        <v>2863.7858351077198</v>
      </c>
      <c r="O4" s="68">
        <f t="shared" ref="O4:O12" si="8">J4*K4</f>
        <v>6228.5420856154597</v>
      </c>
      <c r="P4" s="232">
        <v>0.43</v>
      </c>
      <c r="Q4" s="232">
        <v>0.8</v>
      </c>
      <c r="R4" s="234">
        <v>1.5</v>
      </c>
      <c r="S4" s="68">
        <f t="shared" ref="S4:S12" si="9">SUM(T4:V4)</f>
        <v>3386.4030493471428</v>
      </c>
      <c r="T4" s="68">
        <f t="shared" ref="T4:T12" si="10">(M4*P4*Q4)/R4</f>
        <v>1301.2291795279605</v>
      </c>
      <c r="U4" s="68">
        <f t="shared" ref="U4:U12" si="11">(N4*P4*Q4)/R4</f>
        <v>656.76155151803721</v>
      </c>
      <c r="V4" s="68">
        <f t="shared" ref="V4:V12" si="12">(O4*P4*Q4)/R4</f>
        <v>1428.4123183011454</v>
      </c>
      <c r="W4" s="68">
        <f t="shared" ref="W4:W12" si="13">SUM(X4:Z4)</f>
        <v>11379.889316992143</v>
      </c>
      <c r="X4" s="68">
        <f t="shared" ref="X4:X12" si="14">M4-T4</f>
        <v>4372.7352660881452</v>
      </c>
      <c r="Y4" s="68">
        <f t="shared" ref="Y4:Y12" si="15">N4-U4</f>
        <v>2207.0242835896825</v>
      </c>
      <c r="Z4" s="68">
        <f t="shared" ref="Z4:Z12" si="16">O4-V4</f>
        <v>4800.1297673143144</v>
      </c>
      <c r="AA4" s="68">
        <f t="shared" ref="AA4:AA12" si="17">SUM(AB4:AD4)</f>
        <v>14766.292366339285</v>
      </c>
      <c r="AB4" s="68">
        <f t="shared" ref="AB4:AB12" si="18">T4+X4</f>
        <v>5673.9644456161059</v>
      </c>
      <c r="AC4" s="68">
        <f t="shared" ref="AC4:AC12" si="19">U4+Y4</f>
        <v>2863.7858351077198</v>
      </c>
      <c r="AD4" s="68">
        <f t="shared" ref="AD4:AD11" si="20">V4+Z4</f>
        <v>6228.5420856154597</v>
      </c>
      <c r="AE4" s="303">
        <v>2</v>
      </c>
      <c r="AF4" s="10"/>
    </row>
    <row r="5" spans="1:32" x14ac:dyDescent="0.3">
      <c r="A5" s="126">
        <v>2022</v>
      </c>
      <c r="B5" s="63">
        <f t="shared" si="0"/>
        <v>197658.61641538073</v>
      </c>
      <c r="C5" s="63">
        <f>'5.1.1 Nakłady lata'!V4</f>
        <v>75889.54147055716</v>
      </c>
      <c r="D5" s="63">
        <f>'5.1.1 Nakłady lata'!W4</f>
        <v>38352.404554697983</v>
      </c>
      <c r="E5" s="63">
        <f>'5.1.1 Nakłady lata'!X4</f>
        <v>83416.670390125611</v>
      </c>
      <c r="F5" s="286">
        <v>0.43</v>
      </c>
      <c r="G5" s="229">
        <f t="shared" si="1"/>
        <v>84993.205058613734</v>
      </c>
      <c r="H5" s="230">
        <f t="shared" si="2"/>
        <v>32632.502832339578</v>
      </c>
      <c r="I5" s="230">
        <f t="shared" si="3"/>
        <v>16491.533958520133</v>
      </c>
      <c r="J5" s="231">
        <f t="shared" si="4"/>
        <v>35869.168267754016</v>
      </c>
      <c r="K5" s="232">
        <v>0.18</v>
      </c>
      <c r="L5" s="233">
        <f t="shared" si="5"/>
        <v>15298.77691055047</v>
      </c>
      <c r="M5" s="68">
        <f t="shared" si="6"/>
        <v>5873.8505098211235</v>
      </c>
      <c r="N5" s="68">
        <f t="shared" si="7"/>
        <v>2968.4761125336236</v>
      </c>
      <c r="O5" s="68">
        <f t="shared" si="8"/>
        <v>6456.4502881957224</v>
      </c>
      <c r="P5" s="232">
        <v>0.43</v>
      </c>
      <c r="Q5" s="232">
        <v>0.8</v>
      </c>
      <c r="R5" s="234">
        <v>1.5</v>
      </c>
      <c r="S5" s="68">
        <f t="shared" si="9"/>
        <v>3508.5195048195746</v>
      </c>
      <c r="T5" s="68">
        <f t="shared" si="10"/>
        <v>1347.0697169189777</v>
      </c>
      <c r="U5" s="68">
        <f t="shared" si="11"/>
        <v>680.77052180771102</v>
      </c>
      <c r="V5" s="68">
        <f t="shared" si="12"/>
        <v>1480.6792660928857</v>
      </c>
      <c r="W5" s="68">
        <f t="shared" si="13"/>
        <v>11790.257405730896</v>
      </c>
      <c r="X5" s="68">
        <f t="shared" si="14"/>
        <v>4526.7807929021455</v>
      </c>
      <c r="Y5" s="68">
        <f t="shared" si="15"/>
        <v>2287.7055907259128</v>
      </c>
      <c r="Z5" s="68">
        <f t="shared" si="16"/>
        <v>4975.7710221028365</v>
      </c>
      <c r="AA5" s="68">
        <f t="shared" si="17"/>
        <v>15298.77691055047</v>
      </c>
      <c r="AB5" s="68">
        <f t="shared" si="18"/>
        <v>5873.8505098211235</v>
      </c>
      <c r="AC5" s="68">
        <f t="shared" si="19"/>
        <v>2968.4761125336236</v>
      </c>
      <c r="AD5" s="68">
        <f t="shared" si="20"/>
        <v>6456.4502881957224</v>
      </c>
      <c r="AE5" s="303">
        <v>3</v>
      </c>
      <c r="AF5" s="10"/>
    </row>
    <row r="6" spans="1:32" x14ac:dyDescent="0.3">
      <c r="A6" s="126">
        <v>2023</v>
      </c>
      <c r="B6" s="63">
        <f t="shared" si="0"/>
        <v>204786.13261896212</v>
      </c>
      <c r="C6" s="63">
        <f>'5.1.1 Nakłady lata'!V5</f>
        <v>78563.023153418762</v>
      </c>
      <c r="D6" s="63">
        <f>'5.1.1 Nakłady lata'!W5</f>
        <v>39754.348471981051</v>
      </c>
      <c r="E6" s="63">
        <f>'5.1.1 Nakłady lata'!X5</f>
        <v>86468.760993562304</v>
      </c>
      <c r="F6" s="286">
        <v>0.43</v>
      </c>
      <c r="G6" s="229">
        <f t="shared" si="1"/>
        <v>88058.037026153703</v>
      </c>
      <c r="H6" s="230">
        <f t="shared" si="2"/>
        <v>33782.099955970065</v>
      </c>
      <c r="I6" s="230">
        <f t="shared" si="3"/>
        <v>17094.369842951852</v>
      </c>
      <c r="J6" s="231">
        <f t="shared" si="4"/>
        <v>37181.56722723179</v>
      </c>
      <c r="K6" s="232">
        <v>0.18</v>
      </c>
      <c r="L6" s="233">
        <f t="shared" si="5"/>
        <v>15850.446664707666</v>
      </c>
      <c r="M6" s="68">
        <f t="shared" si="6"/>
        <v>6080.7779920746116</v>
      </c>
      <c r="N6" s="68">
        <f t="shared" si="7"/>
        <v>3076.9865717313332</v>
      </c>
      <c r="O6" s="68">
        <f t="shared" si="8"/>
        <v>6692.6821009017222</v>
      </c>
      <c r="P6" s="232">
        <v>0.43</v>
      </c>
      <c r="Q6" s="232">
        <v>0.8</v>
      </c>
      <c r="R6" s="234">
        <v>1.5</v>
      </c>
      <c r="S6" s="68">
        <f t="shared" si="9"/>
        <v>3635.0357684396254</v>
      </c>
      <c r="T6" s="68">
        <f t="shared" si="10"/>
        <v>1394.5250861824443</v>
      </c>
      <c r="U6" s="68">
        <f t="shared" si="11"/>
        <v>705.65558711705251</v>
      </c>
      <c r="V6" s="68">
        <f t="shared" si="12"/>
        <v>1534.8550951401285</v>
      </c>
      <c r="W6" s="68">
        <f t="shared" si="13"/>
        <v>12215.410896268042</v>
      </c>
      <c r="X6" s="68">
        <f t="shared" si="14"/>
        <v>4686.2529058921673</v>
      </c>
      <c r="Y6" s="68">
        <f t="shared" si="15"/>
        <v>2371.3309846142806</v>
      </c>
      <c r="Z6" s="68">
        <f t="shared" si="16"/>
        <v>5157.8270057615937</v>
      </c>
      <c r="AA6" s="68">
        <f t="shared" si="17"/>
        <v>15850.446664707666</v>
      </c>
      <c r="AB6" s="68">
        <f t="shared" si="18"/>
        <v>6080.7779920746116</v>
      </c>
      <c r="AC6" s="68">
        <f t="shared" si="19"/>
        <v>3076.9865717313332</v>
      </c>
      <c r="AD6" s="68">
        <f t="shared" si="20"/>
        <v>6692.6821009017222</v>
      </c>
      <c r="AE6" s="303">
        <v>4</v>
      </c>
      <c r="AF6" s="10"/>
    </row>
    <row r="7" spans="1:32" x14ac:dyDescent="0.3">
      <c r="A7" s="126">
        <v>2024</v>
      </c>
      <c r="B7" s="63">
        <f t="shared" si="0"/>
        <v>212170.44315168541</v>
      </c>
      <c r="C7" s="63">
        <f>'5.1.1 Nakłady lata'!V6</f>
        <v>81330.683865779269</v>
      </c>
      <c r="D7" s="63">
        <f>'5.1.1 Nakłady lata'!W6</f>
        <v>41207.446767894442</v>
      </c>
      <c r="E7" s="63">
        <f>'5.1.1 Nakłady lata'!X6</f>
        <v>89632.312518011677</v>
      </c>
      <c r="F7" s="286">
        <v>0.43</v>
      </c>
      <c r="G7" s="229">
        <f t="shared" si="1"/>
        <v>91233.29055522471</v>
      </c>
      <c r="H7" s="230">
        <f t="shared" si="2"/>
        <v>34972.194062285082</v>
      </c>
      <c r="I7" s="230">
        <f t="shared" si="3"/>
        <v>17719.202110194608</v>
      </c>
      <c r="J7" s="231">
        <f t="shared" si="4"/>
        <v>38541.89438274502</v>
      </c>
      <c r="K7" s="232">
        <v>0.18</v>
      </c>
      <c r="L7" s="233">
        <f t="shared" si="5"/>
        <v>16421.992299940448</v>
      </c>
      <c r="M7" s="68">
        <f t="shared" si="6"/>
        <v>6294.9949312113149</v>
      </c>
      <c r="N7" s="68">
        <f t="shared" si="7"/>
        <v>3189.4563798350296</v>
      </c>
      <c r="O7" s="68">
        <f t="shared" si="8"/>
        <v>6937.5409888941031</v>
      </c>
      <c r="P7" s="232">
        <v>0.43</v>
      </c>
      <c r="Q7" s="232">
        <v>0.8</v>
      </c>
      <c r="R7" s="234">
        <v>1.5</v>
      </c>
      <c r="S7" s="68">
        <f t="shared" si="9"/>
        <v>3766.1102341196756</v>
      </c>
      <c r="T7" s="68">
        <f t="shared" si="10"/>
        <v>1443.6521708911284</v>
      </c>
      <c r="U7" s="68">
        <f t="shared" si="11"/>
        <v>731.44866310883344</v>
      </c>
      <c r="V7" s="68">
        <f t="shared" si="12"/>
        <v>1591.0094001197142</v>
      </c>
      <c r="W7" s="68">
        <f t="shared" si="13"/>
        <v>12655.882065820771</v>
      </c>
      <c r="X7" s="68">
        <f t="shared" si="14"/>
        <v>4851.3427603201862</v>
      </c>
      <c r="Y7" s="68">
        <f t="shared" si="15"/>
        <v>2458.0077167261961</v>
      </c>
      <c r="Z7" s="68">
        <f t="shared" si="16"/>
        <v>5346.5315887743891</v>
      </c>
      <c r="AA7" s="68">
        <f t="shared" si="17"/>
        <v>16421.992299940448</v>
      </c>
      <c r="AB7" s="68">
        <f t="shared" si="18"/>
        <v>6294.9949312113149</v>
      </c>
      <c r="AC7" s="68">
        <f t="shared" si="19"/>
        <v>3189.4563798350296</v>
      </c>
      <c r="AD7" s="68">
        <f t="shared" si="20"/>
        <v>6937.5409888941031</v>
      </c>
      <c r="AE7" s="303">
        <v>5</v>
      </c>
      <c r="AF7" s="10"/>
    </row>
    <row r="8" spans="1:32" x14ac:dyDescent="0.3">
      <c r="A8" s="126">
        <v>2025</v>
      </c>
      <c r="B8" s="63">
        <f t="shared" si="0"/>
        <v>219820.79240924102</v>
      </c>
      <c r="C8" s="63">
        <f>'5.1.1 Nakłady lata'!V7</f>
        <v>84195.841124642044</v>
      </c>
      <c r="D8" s="63">
        <f>'5.1.1 Nakłady lata'!W7</f>
        <v>42713.562867643581</v>
      </c>
      <c r="E8" s="63">
        <f>'5.1.1 Nakłady lata'!X7</f>
        <v>92911.388416955408</v>
      </c>
      <c r="F8" s="286">
        <v>0.43</v>
      </c>
      <c r="G8" s="229">
        <f t="shared" si="1"/>
        <v>94522.940735973651</v>
      </c>
      <c r="H8" s="230">
        <f t="shared" si="2"/>
        <v>36204.211683596077</v>
      </c>
      <c r="I8" s="230">
        <f t="shared" si="3"/>
        <v>18366.832033086739</v>
      </c>
      <c r="J8" s="231">
        <f t="shared" si="4"/>
        <v>39951.897019290824</v>
      </c>
      <c r="K8" s="232">
        <v>0.18</v>
      </c>
      <c r="L8" s="233">
        <f t="shared" si="5"/>
        <v>17014.129332475255</v>
      </c>
      <c r="M8" s="68">
        <f t="shared" si="6"/>
        <v>6516.7581030472938</v>
      </c>
      <c r="N8" s="68">
        <f t="shared" si="7"/>
        <v>3306.0297659556131</v>
      </c>
      <c r="O8" s="68">
        <f t="shared" si="8"/>
        <v>7191.3414634723476</v>
      </c>
      <c r="P8" s="232">
        <v>0.43</v>
      </c>
      <c r="Q8" s="232">
        <v>0.8</v>
      </c>
      <c r="R8" s="234">
        <v>1.5</v>
      </c>
      <c r="S8" s="68">
        <f t="shared" si="9"/>
        <v>3901.9069935809916</v>
      </c>
      <c r="T8" s="68">
        <f t="shared" si="10"/>
        <v>1494.509858298846</v>
      </c>
      <c r="U8" s="68">
        <f t="shared" si="11"/>
        <v>758.18282632582066</v>
      </c>
      <c r="V8" s="68">
        <f t="shared" si="12"/>
        <v>1649.2143089563251</v>
      </c>
      <c r="W8" s="68">
        <f t="shared" si="13"/>
        <v>13112.222338894262</v>
      </c>
      <c r="X8" s="68">
        <f t="shared" si="14"/>
        <v>5022.2482447484481</v>
      </c>
      <c r="Y8" s="68">
        <f t="shared" si="15"/>
        <v>2547.8469396297924</v>
      </c>
      <c r="Z8" s="68">
        <f t="shared" si="16"/>
        <v>5542.1271545160225</v>
      </c>
      <c r="AA8" s="68">
        <f t="shared" si="17"/>
        <v>17014.129332475255</v>
      </c>
      <c r="AB8" s="68">
        <f t="shared" si="18"/>
        <v>6516.7581030472938</v>
      </c>
      <c r="AC8" s="68">
        <f t="shared" si="19"/>
        <v>3306.0297659556131</v>
      </c>
      <c r="AD8" s="68">
        <f t="shared" si="20"/>
        <v>7191.3414634723476</v>
      </c>
      <c r="AE8" s="303">
        <v>6</v>
      </c>
      <c r="AF8" s="10"/>
    </row>
    <row r="9" spans="1:32" x14ac:dyDescent="0.3">
      <c r="A9" s="126">
        <v>2026</v>
      </c>
      <c r="B9" s="63">
        <f t="shared" si="0"/>
        <v>227746.75732196475</v>
      </c>
      <c r="C9" s="63">
        <f>'5.1.1 Nakłady lata'!V8</f>
        <v>87161.929303889628</v>
      </c>
      <c r="D9" s="63">
        <f>'5.1.1 Nakłady lata'!W8</f>
        <v>44274.627972084505</v>
      </c>
      <c r="E9" s="63">
        <f>'5.1.1 Nakłady lata'!X8</f>
        <v>96310.200045990612</v>
      </c>
      <c r="F9" s="286">
        <v>0.43</v>
      </c>
      <c r="G9" s="229">
        <f t="shared" si="1"/>
        <v>97931.105648444835</v>
      </c>
      <c r="H9" s="230">
        <f t="shared" si="2"/>
        <v>37479.629600672539</v>
      </c>
      <c r="I9" s="230">
        <f t="shared" si="3"/>
        <v>19038.090027996335</v>
      </c>
      <c r="J9" s="231">
        <f>E9*F9</f>
        <v>41413.386019775964</v>
      </c>
      <c r="K9" s="232">
        <v>0.18</v>
      </c>
      <c r="L9" s="233">
        <f t="shared" si="5"/>
        <v>17627.599016720073</v>
      </c>
      <c r="M9" s="68">
        <f t="shared" si="6"/>
        <v>6746.3333281210571</v>
      </c>
      <c r="N9" s="68">
        <f t="shared" si="7"/>
        <v>3426.8562050393402</v>
      </c>
      <c r="O9" s="68">
        <f t="shared" si="8"/>
        <v>7454.4094835596734</v>
      </c>
      <c r="P9" s="232">
        <v>0.43</v>
      </c>
      <c r="Q9" s="232">
        <v>0.8</v>
      </c>
      <c r="R9" s="234">
        <v>1.5</v>
      </c>
      <c r="S9" s="68">
        <f t="shared" si="9"/>
        <v>4042.5960411678034</v>
      </c>
      <c r="T9" s="68">
        <f t="shared" si="10"/>
        <v>1547.1591099157624</v>
      </c>
      <c r="U9" s="68">
        <f t="shared" si="11"/>
        <v>785.89235635568866</v>
      </c>
      <c r="V9" s="68">
        <f t="shared" si="12"/>
        <v>1709.5445748963518</v>
      </c>
      <c r="W9" s="68">
        <f t="shared" si="13"/>
        <v>13585.002975552268</v>
      </c>
      <c r="X9" s="68">
        <f t="shared" si="14"/>
        <v>5199.1742182052949</v>
      </c>
      <c r="Y9" s="68">
        <f t="shared" si="15"/>
        <v>2640.9638486836516</v>
      </c>
      <c r="Z9" s="68">
        <f t="shared" si="16"/>
        <v>5744.8649086633213</v>
      </c>
      <c r="AA9" s="68">
        <f t="shared" si="17"/>
        <v>17627.599016720073</v>
      </c>
      <c r="AB9" s="68">
        <f t="shared" si="18"/>
        <v>6746.3333281210571</v>
      </c>
      <c r="AC9" s="68">
        <f t="shared" si="19"/>
        <v>3426.8562050393402</v>
      </c>
      <c r="AD9" s="68">
        <f t="shared" si="20"/>
        <v>7454.4094835596734</v>
      </c>
      <c r="AE9" s="303">
        <v>7</v>
      </c>
      <c r="AF9" s="10"/>
    </row>
    <row r="10" spans="1:32" x14ac:dyDescent="0.3">
      <c r="A10" s="126">
        <v>2027</v>
      </c>
      <c r="B10" s="63">
        <f t="shared" si="0"/>
        <v>235958.2593078778</v>
      </c>
      <c r="C10" s="63">
        <f>'5.1.1 Nakłady lata'!V9</f>
        <v>90232.503750306874</v>
      </c>
      <c r="D10" s="63">
        <f>'5.1.1 Nakłady lata'!W9</f>
        <v>45892.643519323414</v>
      </c>
      <c r="E10" s="63">
        <f>'5.1.1 Nakłady lata'!X9</f>
        <v>99833.11203824752</v>
      </c>
      <c r="F10" s="286">
        <v>0.43</v>
      </c>
      <c r="G10" s="229">
        <f t="shared" si="1"/>
        <v>101462.05150238745</v>
      </c>
      <c r="H10" s="230">
        <f t="shared" si="2"/>
        <v>38799.976612631952</v>
      </c>
      <c r="I10" s="230">
        <f t="shared" si="3"/>
        <v>19733.836713309069</v>
      </c>
      <c r="J10" s="231">
        <f t="shared" si="4"/>
        <v>42928.23817644643</v>
      </c>
      <c r="K10" s="232">
        <v>0.18</v>
      </c>
      <c r="L10" s="233">
        <f t="shared" si="5"/>
        <v>18263.169270429742</v>
      </c>
      <c r="M10" s="68">
        <f t="shared" si="6"/>
        <v>6983.9957902737515</v>
      </c>
      <c r="N10" s="68">
        <f t="shared" si="7"/>
        <v>3552.0906083956324</v>
      </c>
      <c r="O10" s="68">
        <f t="shared" si="8"/>
        <v>7727.0828717603572</v>
      </c>
      <c r="P10" s="232">
        <v>0.43</v>
      </c>
      <c r="Q10" s="232">
        <v>0.8</v>
      </c>
      <c r="R10" s="234">
        <v>1.5</v>
      </c>
      <c r="S10" s="68">
        <f t="shared" si="9"/>
        <v>4188.3534860185537</v>
      </c>
      <c r="T10" s="68">
        <f t="shared" si="10"/>
        <v>1601.6630345694473</v>
      </c>
      <c r="U10" s="68">
        <f t="shared" si="11"/>
        <v>814.61277952539831</v>
      </c>
      <c r="V10" s="68">
        <f t="shared" si="12"/>
        <v>1772.0776719237085</v>
      </c>
      <c r="W10" s="68">
        <f t="shared" si="13"/>
        <v>14074.815784411187</v>
      </c>
      <c r="X10" s="68">
        <f t="shared" si="14"/>
        <v>5382.332755704304</v>
      </c>
      <c r="Y10" s="68">
        <f t="shared" si="15"/>
        <v>2737.4778288702341</v>
      </c>
      <c r="Z10" s="68">
        <f t="shared" si="16"/>
        <v>5955.0051998366489</v>
      </c>
      <c r="AA10" s="68">
        <f t="shared" si="17"/>
        <v>18263.169270429742</v>
      </c>
      <c r="AB10" s="68">
        <f t="shared" si="18"/>
        <v>6983.9957902737515</v>
      </c>
      <c r="AC10" s="68">
        <f t="shared" si="19"/>
        <v>3552.0906083956324</v>
      </c>
      <c r="AD10" s="68">
        <f t="shared" si="20"/>
        <v>7727.0828717603572</v>
      </c>
      <c r="AE10" s="303">
        <v>8</v>
      </c>
      <c r="AF10" s="10"/>
    </row>
    <row r="11" spans="1:32" x14ac:dyDescent="0.3">
      <c r="A11" s="126">
        <v>2028</v>
      </c>
      <c r="B11" s="63">
        <f t="shared" si="0"/>
        <v>244465.57665508537</v>
      </c>
      <c r="C11" s="63">
        <f>'5.1.1 Nakłady lata'!V10</f>
        <v>93411.245044576077</v>
      </c>
      <c r="D11" s="63">
        <f>'5.1.1 Nakłady lata'!W10</f>
        <v>47569.683735603248</v>
      </c>
      <c r="E11" s="63">
        <f>'5.1.1 Nakłady lata'!X10</f>
        <v>103484.64787490605</v>
      </c>
      <c r="F11" s="286">
        <v>0.43</v>
      </c>
      <c r="G11" s="229">
        <f t="shared" si="1"/>
        <v>105120.1979616867</v>
      </c>
      <c r="H11" s="230">
        <f t="shared" si="2"/>
        <v>40166.835369167711</v>
      </c>
      <c r="I11" s="230">
        <f t="shared" si="3"/>
        <v>20454.964006309398</v>
      </c>
      <c r="J11" s="231">
        <f t="shared" si="4"/>
        <v>44498.398586209601</v>
      </c>
      <c r="K11" s="232">
        <v>0.18</v>
      </c>
      <c r="L11" s="233">
        <f t="shared" si="5"/>
        <v>18921.635633103608</v>
      </c>
      <c r="M11" s="68">
        <f t="shared" si="6"/>
        <v>7230.030366450188</v>
      </c>
      <c r="N11" s="68">
        <f t="shared" si="7"/>
        <v>3681.8935211356916</v>
      </c>
      <c r="O11" s="68">
        <f t="shared" si="8"/>
        <v>8009.7117455177276</v>
      </c>
      <c r="P11" s="232">
        <v>0.43</v>
      </c>
      <c r="Q11" s="232">
        <v>0.8</v>
      </c>
      <c r="R11" s="234">
        <v>1.5</v>
      </c>
      <c r="S11" s="68">
        <f t="shared" si="9"/>
        <v>4339.3617718584273</v>
      </c>
      <c r="T11" s="68">
        <f t="shared" si="10"/>
        <v>1658.0869640392432</v>
      </c>
      <c r="U11" s="68">
        <f t="shared" si="11"/>
        <v>844.3809141804519</v>
      </c>
      <c r="V11" s="68">
        <f t="shared" si="12"/>
        <v>1836.8938936387324</v>
      </c>
      <c r="W11" s="68">
        <f t="shared" si="13"/>
        <v>14582.273861245181</v>
      </c>
      <c r="X11" s="68">
        <f t="shared" si="14"/>
        <v>5571.9434024109451</v>
      </c>
      <c r="Y11" s="68">
        <f t="shared" si="15"/>
        <v>2837.5126069552398</v>
      </c>
      <c r="Z11" s="68">
        <f t="shared" si="16"/>
        <v>6172.8178518789955</v>
      </c>
      <c r="AA11" s="68">
        <f t="shared" si="17"/>
        <v>18921.635633103608</v>
      </c>
      <c r="AB11" s="68">
        <f t="shared" si="18"/>
        <v>7230.030366450188</v>
      </c>
      <c r="AC11" s="68">
        <f t="shared" si="19"/>
        <v>3681.8935211356916</v>
      </c>
      <c r="AD11" s="68">
        <f t="shared" si="20"/>
        <v>8009.7117455177276</v>
      </c>
      <c r="AE11" s="303">
        <v>9</v>
      </c>
      <c r="AF11" s="10"/>
    </row>
    <row r="12" spans="1:32" x14ac:dyDescent="0.3">
      <c r="A12" s="126">
        <v>2029</v>
      </c>
      <c r="B12" s="63">
        <f t="shared" si="0"/>
        <v>253279.35734894534</v>
      </c>
      <c r="C12" s="63">
        <f>'5.1.1 Nakłady lata'!V11</f>
        <v>96701.963412349985</v>
      </c>
      <c r="D12" s="63">
        <f>'5.1.1 Nakłady lata'!W11</f>
        <v>49307.898278711495</v>
      </c>
      <c r="E12" s="63">
        <f>'5.1.1 Nakłady lata'!X11</f>
        <v>107269.49565788386</v>
      </c>
      <c r="F12" s="286">
        <v>0.43</v>
      </c>
      <c r="G12" s="229">
        <f t="shared" si="1"/>
        <v>108910.12366004649</v>
      </c>
      <c r="H12" s="230">
        <f t="shared" si="2"/>
        <v>41581.844267310495</v>
      </c>
      <c r="I12" s="230">
        <f t="shared" si="3"/>
        <v>21202.396259845944</v>
      </c>
      <c r="J12" s="231">
        <f t="shared" si="4"/>
        <v>46125.883132890056</v>
      </c>
      <c r="K12" s="232">
        <v>0.18</v>
      </c>
      <c r="L12" s="233">
        <f t="shared" si="5"/>
        <v>19603.822258808366</v>
      </c>
      <c r="M12" s="68">
        <f t="shared" si="6"/>
        <v>7484.7319681158888</v>
      </c>
      <c r="N12" s="68">
        <f t="shared" si="7"/>
        <v>3816.4313267722696</v>
      </c>
      <c r="O12" s="68">
        <f t="shared" si="8"/>
        <v>8302.6589639202102</v>
      </c>
      <c r="P12" s="232">
        <v>0.43</v>
      </c>
      <c r="Q12" s="232">
        <v>0.8</v>
      </c>
      <c r="R12" s="234">
        <v>1.5</v>
      </c>
      <c r="S12" s="68">
        <f t="shared" si="9"/>
        <v>4495.8099046867192</v>
      </c>
      <c r="T12" s="68">
        <f t="shared" si="10"/>
        <v>1716.4985313545774</v>
      </c>
      <c r="U12" s="68">
        <f t="shared" si="11"/>
        <v>875.23491760644049</v>
      </c>
      <c r="V12" s="68">
        <f t="shared" si="12"/>
        <v>1904.0764557257016</v>
      </c>
      <c r="W12" s="68">
        <f t="shared" si="13"/>
        <v>15108.012354121649</v>
      </c>
      <c r="X12" s="68">
        <f t="shared" si="14"/>
        <v>5768.2334367613112</v>
      </c>
      <c r="Y12" s="68">
        <f t="shared" si="15"/>
        <v>2941.1964091658292</v>
      </c>
      <c r="Z12" s="68">
        <f t="shared" si="16"/>
        <v>6398.5825081945086</v>
      </c>
      <c r="AA12" s="68">
        <f t="shared" si="17"/>
        <v>19603.822258808366</v>
      </c>
      <c r="AB12" s="68">
        <f t="shared" si="18"/>
        <v>7484.7319681158888</v>
      </c>
      <c r="AC12" s="68">
        <f t="shared" si="19"/>
        <v>3816.4313267722696</v>
      </c>
      <c r="AD12" s="68">
        <f>V12+Z12</f>
        <v>8302.6589639202102</v>
      </c>
      <c r="AE12" s="303">
        <v>10</v>
      </c>
      <c r="AF12" s="10"/>
    </row>
    <row r="13" spans="1:32" s="46" customFormat="1" x14ac:dyDescent="0.3">
      <c r="A13" s="129" t="s">
        <v>63</v>
      </c>
      <c r="B13" s="206">
        <f>SUM(B3:B12)</f>
        <v>2171160.0018871995</v>
      </c>
      <c r="C13" s="206">
        <f>SUM(C3:C12)</f>
        <v>831743.27149073547</v>
      </c>
      <c r="D13" s="206">
        <f>SUM(D3:D12)</f>
        <v>421836.39312437712</v>
      </c>
      <c r="E13" s="206">
        <f>SUM(E3:E12)</f>
        <v>917580.33727208723</v>
      </c>
      <c r="F13" s="206"/>
      <c r="G13" s="206">
        <f t="shared" si="1"/>
        <v>933598.80081149586</v>
      </c>
      <c r="H13" s="235">
        <f>SUM(H3:H12)</f>
        <v>357649.60674101621</v>
      </c>
      <c r="I13" s="235">
        <f>SUM(I3:I12)</f>
        <v>181389.64904348218</v>
      </c>
      <c r="J13" s="236">
        <f>SUM(J3:J12)</f>
        <v>394559.54502699751</v>
      </c>
      <c r="K13" s="237"/>
      <c r="L13" s="238">
        <f>SUM(L3:L12)</f>
        <v>168047.78414606926</v>
      </c>
      <c r="M13" s="51">
        <f>SUM(M3:M12)</f>
        <v>64376.929213382908</v>
      </c>
      <c r="N13" s="51">
        <f>SUM(N3:N12)</f>
        <v>32650.136827826787</v>
      </c>
      <c r="O13" s="51">
        <f>SUM(O3:O12)</f>
        <v>71020.718104859552</v>
      </c>
      <c r="P13" s="51"/>
      <c r="Q13" s="51"/>
      <c r="R13" s="51"/>
      <c r="S13" s="51">
        <f t="shared" ref="S13:AD13" si="21">SUM(S3:S12)</f>
        <v>38538.958497498548</v>
      </c>
      <c r="T13" s="51">
        <f t="shared" si="21"/>
        <v>14763.775766269146</v>
      </c>
      <c r="U13" s="51">
        <f t="shared" si="21"/>
        <v>7487.7647125149442</v>
      </c>
      <c r="V13" s="51">
        <f t="shared" si="21"/>
        <v>16287.418018714459</v>
      </c>
      <c r="W13" s="51">
        <f t="shared" si="21"/>
        <v>129508.82564857068</v>
      </c>
      <c r="X13" s="51">
        <f t="shared" si="21"/>
        <v>49613.153447113742</v>
      </c>
      <c r="Y13" s="51">
        <f t="shared" si="21"/>
        <v>25162.372115311842</v>
      </c>
      <c r="Z13" s="51">
        <f t="shared" si="21"/>
        <v>54733.300086145093</v>
      </c>
      <c r="AA13" s="51">
        <f t="shared" si="21"/>
        <v>168047.78414606926</v>
      </c>
      <c r="AB13" s="51">
        <f t="shared" si="21"/>
        <v>64376.929213382908</v>
      </c>
      <c r="AC13" s="51">
        <f t="shared" si="21"/>
        <v>32650.136827826787</v>
      </c>
      <c r="AD13" s="51">
        <f t="shared" si="21"/>
        <v>71020.718104859552</v>
      </c>
      <c r="AE13" s="305">
        <v>11</v>
      </c>
    </row>
    <row r="18" spans="13:14" x14ac:dyDescent="0.3">
      <c r="M18" s="10"/>
      <c r="N18" s="10"/>
    </row>
  </sheetData>
  <phoneticPr fontId="21" type="noConversion"/>
  <pageMargins left="0.7" right="0.7" top="0.75" bottom="0.75" header="0.3" footer="0.3"/>
  <pageSetup paperSize="9" orientation="portrait" horizontalDpi="4294967294" verticalDpi="4294967294" r:id="rId1"/>
  <legacyDrawing r:id="rId2"/>
  <tableParts count="1"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29"/>
  <sheetViews>
    <sheetView topLeftCell="P1" zoomScale="90" zoomScaleNormal="90" workbookViewId="0">
      <selection activeCell="B13" sqref="B13"/>
    </sheetView>
  </sheetViews>
  <sheetFormatPr defaultRowHeight="14.4" x14ac:dyDescent="0.3"/>
  <cols>
    <col min="1" max="1" width="25.109375" customWidth="1"/>
    <col min="2" max="2" width="43.6640625" customWidth="1"/>
    <col min="3" max="3" width="27.33203125" customWidth="1"/>
    <col min="4" max="4" width="42" customWidth="1"/>
    <col min="5" max="5" width="32.6640625" customWidth="1"/>
    <col min="6" max="6" width="35.6640625" customWidth="1"/>
    <col min="7" max="7" width="31.88671875" customWidth="1"/>
    <col min="8" max="8" width="32.88671875" customWidth="1"/>
    <col min="9" max="9" width="28" customWidth="1"/>
    <col min="10" max="10" width="17.88671875" customWidth="1"/>
    <col min="11" max="11" width="18.33203125" customWidth="1"/>
    <col min="12" max="12" width="26.6640625" customWidth="1"/>
    <col min="13" max="13" width="29.5546875" customWidth="1"/>
    <col min="14" max="14" width="24.88671875" customWidth="1"/>
    <col min="15" max="15" width="22.33203125" customWidth="1"/>
    <col min="16" max="16" width="24.33203125" customWidth="1"/>
    <col min="17" max="17" width="27.6640625" customWidth="1"/>
    <col min="18" max="18" width="27.5546875" customWidth="1"/>
    <col min="19" max="19" width="24" customWidth="1"/>
    <col min="20" max="20" width="23.5546875" customWidth="1"/>
    <col min="21" max="21" width="25.44140625" customWidth="1"/>
    <col min="22" max="22" width="26.44140625" customWidth="1"/>
    <col min="23" max="23" width="21" customWidth="1"/>
  </cols>
  <sheetData>
    <row r="1" spans="1:25" ht="47.25" customHeight="1" x14ac:dyDescent="0.3">
      <c r="A1" s="287" t="s">
        <v>18</v>
      </c>
      <c r="B1" s="245" t="s">
        <v>86</v>
      </c>
      <c r="C1" s="289" t="s">
        <v>153</v>
      </c>
      <c r="D1" s="290" t="s">
        <v>87</v>
      </c>
      <c r="E1" s="289" t="s">
        <v>154</v>
      </c>
      <c r="F1" s="245" t="s">
        <v>88</v>
      </c>
      <c r="G1" s="289" t="s">
        <v>155</v>
      </c>
      <c r="H1" s="186" t="s">
        <v>89</v>
      </c>
      <c r="I1" s="289" t="s">
        <v>156</v>
      </c>
      <c r="J1" s="245" t="s">
        <v>157</v>
      </c>
      <c r="K1" s="245" t="s">
        <v>158</v>
      </c>
      <c r="L1" s="289" t="s">
        <v>163</v>
      </c>
      <c r="M1" s="245" t="s">
        <v>164</v>
      </c>
      <c r="N1" s="245" t="s">
        <v>165</v>
      </c>
      <c r="O1" s="289" t="s">
        <v>159</v>
      </c>
      <c r="P1" s="245" t="s">
        <v>160</v>
      </c>
      <c r="Q1" s="245" t="s">
        <v>161</v>
      </c>
      <c r="R1" s="245" t="s">
        <v>162</v>
      </c>
      <c r="S1" s="245" t="s">
        <v>167</v>
      </c>
      <c r="T1" s="245" t="s">
        <v>166</v>
      </c>
      <c r="U1" s="245" t="s">
        <v>169</v>
      </c>
      <c r="V1" s="245" t="s">
        <v>168</v>
      </c>
      <c r="W1" s="246" t="s">
        <v>421</v>
      </c>
      <c r="X1" s="46"/>
      <c r="Y1" s="46"/>
    </row>
    <row r="2" spans="1:25" x14ac:dyDescent="0.3">
      <c r="A2" s="139" t="s">
        <v>1</v>
      </c>
      <c r="B2" s="183">
        <v>78381.600000000006</v>
      </c>
      <c r="C2" s="288">
        <v>6.0999999999999999E-2</v>
      </c>
      <c r="D2" s="183">
        <f>B2*C2</f>
        <v>4781.2776000000003</v>
      </c>
      <c r="E2" s="19">
        <v>0.47</v>
      </c>
      <c r="F2" s="183">
        <f>D2*E2</f>
        <v>2247.200472</v>
      </c>
      <c r="G2" s="19">
        <v>0.62</v>
      </c>
      <c r="H2" s="183">
        <f>F2*G2</f>
        <v>1393.2642926399999</v>
      </c>
      <c r="I2" s="19">
        <v>0.08</v>
      </c>
      <c r="J2" s="243">
        <f>H2*I2</f>
        <v>111.4611434112</v>
      </c>
      <c r="K2" s="243">
        <f>H2-J2</f>
        <v>1281.8031492287998</v>
      </c>
      <c r="L2" s="41">
        <v>0.28999999999999998</v>
      </c>
      <c r="M2" s="244">
        <f>J2*L2</f>
        <v>32.323731589247998</v>
      </c>
      <c r="N2" s="244">
        <f>K2*L2</f>
        <v>371.7229132763519</v>
      </c>
      <c r="O2" s="244">
        <f>0.93*21000</f>
        <v>19530</v>
      </c>
      <c r="P2" s="291">
        <f>0.93*1500</f>
        <v>1395</v>
      </c>
      <c r="Q2" s="44">
        <f>SUM(Q3:Q18)</f>
        <v>2175.8807642181118</v>
      </c>
      <c r="R2" s="44">
        <f>SUM(R3:R18)</f>
        <v>1787.3306277505917</v>
      </c>
      <c r="S2" s="44">
        <f>M2*O$2/1000</f>
        <v>631.28247793801336</v>
      </c>
      <c r="T2" s="44">
        <f>N2*P$2/1000</f>
        <v>518.55346402051089</v>
      </c>
      <c r="U2" s="44">
        <f>Q2-S2</f>
        <v>1544.5982862800984</v>
      </c>
      <c r="V2" s="44">
        <f>R2-T2</f>
        <v>1268.7771637300807</v>
      </c>
      <c r="W2" s="24">
        <f>SUM(U2:V2)</f>
        <v>2813.3754500101791</v>
      </c>
      <c r="X2" s="46"/>
      <c r="Y2" s="46"/>
    </row>
    <row r="3" spans="1:25" x14ac:dyDescent="0.3">
      <c r="A3" s="139" t="s">
        <v>2</v>
      </c>
      <c r="B3" s="183">
        <v>7221.4</v>
      </c>
      <c r="C3" s="288">
        <v>6.0999999999999999E-2</v>
      </c>
      <c r="D3" s="183">
        <f t="shared" ref="D3:D18" si="0">B3*C3</f>
        <v>440.50539999999995</v>
      </c>
      <c r="E3" s="19">
        <v>0.47</v>
      </c>
      <c r="F3" s="183">
        <f t="shared" ref="F3:F18" si="1">D3*E3</f>
        <v>207.03753799999996</v>
      </c>
      <c r="G3" s="19">
        <v>0.62</v>
      </c>
      <c r="H3" s="183">
        <f t="shared" ref="H3:H18" si="2">F3*G3</f>
        <v>128.36327355999998</v>
      </c>
      <c r="I3" s="19">
        <v>0.08</v>
      </c>
      <c r="J3" s="243">
        <f t="shared" ref="J3:J18" si="3">H3*I3</f>
        <v>10.269061884799999</v>
      </c>
      <c r="K3" s="243">
        <f t="shared" ref="K3:K18" si="4">H3-J3</f>
        <v>118.09421167519999</v>
      </c>
      <c r="L3" s="42">
        <v>0.28999999999999998</v>
      </c>
      <c r="M3" s="244">
        <f t="shared" ref="M3:M18" si="5">J3*L3</f>
        <v>2.9780279465919994</v>
      </c>
      <c r="N3" s="244">
        <f t="shared" ref="N3:N18" si="6">K3*L3</f>
        <v>34.247321385807993</v>
      </c>
      <c r="O3" s="244">
        <f t="shared" ref="O3:O18" si="7">0.93*21000</f>
        <v>19530</v>
      </c>
      <c r="P3" s="291">
        <f t="shared" ref="P3:P18" si="8">0.93*1500</f>
        <v>1395</v>
      </c>
      <c r="Q3" s="44">
        <f t="shared" ref="Q3:Q18" si="9">J3*O$2/1000</f>
        <v>200.55477861014398</v>
      </c>
      <c r="R3" s="44">
        <f t="shared" ref="R3:R18" si="10">K3*P$2/1000</f>
        <v>164.74142528690399</v>
      </c>
      <c r="S3" s="44">
        <f t="shared" ref="S3:S18" si="11">M3*O$2/1000</f>
        <v>58.160885796941749</v>
      </c>
      <c r="T3" s="44">
        <f t="shared" ref="T3:T18" si="12">N3*P$2/1000</f>
        <v>47.775013333202153</v>
      </c>
      <c r="U3" s="44">
        <f t="shared" ref="U3:U18" si="13">Q3-S3</f>
        <v>142.39389281320223</v>
      </c>
      <c r="V3" s="44">
        <f t="shared" ref="V3:V18" si="14">R3-T3</f>
        <v>116.96641195370184</v>
      </c>
      <c r="W3" s="24">
        <f t="shared" ref="W3:W18" si="15">SUM(U3:V3)</f>
        <v>259.36030476690405</v>
      </c>
      <c r="X3" s="46"/>
      <c r="Y3" s="46"/>
    </row>
    <row r="4" spans="1:25" x14ac:dyDescent="0.3">
      <c r="A4" s="139" t="s">
        <v>3</v>
      </c>
      <c r="B4" s="183">
        <v>2571.4</v>
      </c>
      <c r="C4" s="288">
        <v>6.0999999999999999E-2</v>
      </c>
      <c r="D4" s="183">
        <f t="shared" si="0"/>
        <v>156.8554</v>
      </c>
      <c r="E4" s="19">
        <v>0.47</v>
      </c>
      <c r="F4" s="183">
        <f t="shared" si="1"/>
        <v>73.722037999999998</v>
      </c>
      <c r="G4" s="19">
        <v>0.62</v>
      </c>
      <c r="H4" s="183">
        <f t="shared" si="2"/>
        <v>45.70766356</v>
      </c>
      <c r="I4" s="19">
        <v>0.08</v>
      </c>
      <c r="J4" s="243">
        <f t="shared" si="3"/>
        <v>3.6566130848</v>
      </c>
      <c r="K4" s="243">
        <f t="shared" si="4"/>
        <v>42.0510504752</v>
      </c>
      <c r="L4" s="42">
        <v>0.28999999999999998</v>
      </c>
      <c r="M4" s="244">
        <f t="shared" si="5"/>
        <v>1.0604177945919999</v>
      </c>
      <c r="N4" s="244">
        <f t="shared" si="6"/>
        <v>12.194804637808</v>
      </c>
      <c r="O4" s="244">
        <f t="shared" si="7"/>
        <v>19530</v>
      </c>
      <c r="P4" s="291">
        <f t="shared" si="8"/>
        <v>1395</v>
      </c>
      <c r="Q4" s="44">
        <f t="shared" si="9"/>
        <v>71.413653546144005</v>
      </c>
      <c r="R4" s="44">
        <f t="shared" si="10"/>
        <v>58.661215412903999</v>
      </c>
      <c r="S4" s="44">
        <f t="shared" si="11"/>
        <v>20.709959528381759</v>
      </c>
      <c r="T4" s="44">
        <f t="shared" si="12"/>
        <v>17.011752469742163</v>
      </c>
      <c r="U4" s="44">
        <f t="shared" si="13"/>
        <v>50.703694017762245</v>
      </c>
      <c r="V4" s="44">
        <f t="shared" si="14"/>
        <v>41.649462943161836</v>
      </c>
      <c r="W4" s="24">
        <f t="shared" si="15"/>
        <v>92.353156960924082</v>
      </c>
      <c r="X4" s="46"/>
      <c r="Y4" s="46"/>
    </row>
    <row r="5" spans="1:25" x14ac:dyDescent="0.3">
      <c r="A5" s="139" t="s">
        <v>4</v>
      </c>
      <c r="B5" s="183">
        <v>3284.6</v>
      </c>
      <c r="C5" s="288">
        <v>6.0999999999999999E-2</v>
      </c>
      <c r="D5" s="183">
        <f t="shared" si="0"/>
        <v>200.36059999999998</v>
      </c>
      <c r="E5" s="19">
        <v>0.47</v>
      </c>
      <c r="F5" s="183">
        <f t="shared" si="1"/>
        <v>94.169481999999988</v>
      </c>
      <c r="G5" s="19">
        <v>0.62</v>
      </c>
      <c r="H5" s="183">
        <f t="shared" si="2"/>
        <v>58.385078839999991</v>
      </c>
      <c r="I5" s="19">
        <v>0.08</v>
      </c>
      <c r="J5" s="243">
        <f t="shared" si="3"/>
        <v>4.6708063071999995</v>
      </c>
      <c r="K5" s="243">
        <f t="shared" si="4"/>
        <v>53.714272532799995</v>
      </c>
      <c r="L5" s="42">
        <v>0.28999999999999998</v>
      </c>
      <c r="M5" s="244">
        <f t="shared" si="5"/>
        <v>1.3545338290879998</v>
      </c>
      <c r="N5" s="244">
        <f t="shared" si="6"/>
        <v>15.577139034511998</v>
      </c>
      <c r="O5" s="244">
        <f t="shared" si="7"/>
        <v>19530</v>
      </c>
      <c r="P5" s="291">
        <f t="shared" si="8"/>
        <v>1395</v>
      </c>
      <c r="Q5" s="44">
        <f t="shared" si="9"/>
        <v>91.220847179615987</v>
      </c>
      <c r="R5" s="44">
        <f t="shared" si="10"/>
        <v>74.931410183255991</v>
      </c>
      <c r="S5" s="44">
        <f t="shared" si="11"/>
        <v>26.454045682088637</v>
      </c>
      <c r="T5" s="44">
        <f t="shared" si="12"/>
        <v>21.730108953144239</v>
      </c>
      <c r="U5" s="44">
        <f t="shared" si="13"/>
        <v>64.766801497527354</v>
      </c>
      <c r="V5" s="44">
        <f t="shared" si="14"/>
        <v>53.201301230111753</v>
      </c>
      <c r="W5" s="24">
        <f t="shared" si="15"/>
        <v>117.96810272763911</v>
      </c>
      <c r="X5" s="46"/>
      <c r="Y5" s="46"/>
    </row>
    <row r="6" spans="1:25" x14ac:dyDescent="0.3">
      <c r="A6" s="139" t="s">
        <v>5</v>
      </c>
      <c r="B6" s="183">
        <v>1509.2</v>
      </c>
      <c r="C6" s="288">
        <v>6.0999999999999999E-2</v>
      </c>
      <c r="D6" s="183">
        <f t="shared" si="0"/>
        <v>92.061199999999999</v>
      </c>
      <c r="E6" s="19">
        <v>0.47</v>
      </c>
      <c r="F6" s="183">
        <f t="shared" si="1"/>
        <v>43.268763999999997</v>
      </c>
      <c r="G6" s="19">
        <v>0.62</v>
      </c>
      <c r="H6" s="183">
        <f t="shared" si="2"/>
        <v>26.826633679999997</v>
      </c>
      <c r="I6" s="19">
        <v>0.08</v>
      </c>
      <c r="J6" s="243">
        <f t="shared" si="3"/>
        <v>2.1461306943999996</v>
      </c>
      <c r="K6" s="243">
        <f t="shared" si="4"/>
        <v>24.680502985599997</v>
      </c>
      <c r="L6" s="42">
        <v>0.28999999999999998</v>
      </c>
      <c r="M6" s="244">
        <f t="shared" si="5"/>
        <v>0.6223779013759998</v>
      </c>
      <c r="N6" s="244">
        <f t="shared" si="6"/>
        <v>7.1573458658239986</v>
      </c>
      <c r="O6" s="244">
        <f t="shared" si="7"/>
        <v>19530</v>
      </c>
      <c r="P6" s="291">
        <f t="shared" si="8"/>
        <v>1395</v>
      </c>
      <c r="Q6" s="44">
        <f t="shared" si="9"/>
        <v>41.913932461631994</v>
      </c>
      <c r="R6" s="44">
        <f t="shared" si="10"/>
        <v>34.429301664911996</v>
      </c>
      <c r="S6" s="44">
        <f t="shared" si="11"/>
        <v>12.155040413873275</v>
      </c>
      <c r="T6" s="44">
        <f t="shared" si="12"/>
        <v>9.9844974828244784</v>
      </c>
      <c r="U6" s="44">
        <f t="shared" si="13"/>
        <v>29.758892047758721</v>
      </c>
      <c r="V6" s="44">
        <f t="shared" si="14"/>
        <v>24.444804182087516</v>
      </c>
      <c r="W6" s="24">
        <f t="shared" si="15"/>
        <v>54.203696229846237</v>
      </c>
      <c r="X6" s="46"/>
      <c r="Y6" s="46"/>
    </row>
    <row r="7" spans="1:25" x14ac:dyDescent="0.3">
      <c r="A7" s="139" t="s">
        <v>6</v>
      </c>
      <c r="B7" s="183">
        <v>3362.4</v>
      </c>
      <c r="C7" s="288">
        <v>6.0999999999999999E-2</v>
      </c>
      <c r="D7" s="183">
        <f t="shared" si="0"/>
        <v>205.10640000000001</v>
      </c>
      <c r="E7" s="19">
        <v>0.47</v>
      </c>
      <c r="F7" s="183">
        <f t="shared" si="1"/>
        <v>96.400008</v>
      </c>
      <c r="G7" s="19">
        <v>0.62</v>
      </c>
      <c r="H7" s="183">
        <f t="shared" si="2"/>
        <v>59.768004959999999</v>
      </c>
      <c r="I7" s="19">
        <v>0.08</v>
      </c>
      <c r="J7" s="243">
        <f t="shared" si="3"/>
        <v>4.7814403967999999</v>
      </c>
      <c r="K7" s="243">
        <f t="shared" si="4"/>
        <v>54.986564563199998</v>
      </c>
      <c r="L7" s="42">
        <v>0.28999999999999998</v>
      </c>
      <c r="M7" s="244">
        <f t="shared" si="5"/>
        <v>1.3866177150719998</v>
      </c>
      <c r="N7" s="244">
        <f t="shared" si="6"/>
        <v>15.946103723327999</v>
      </c>
      <c r="O7" s="244">
        <f t="shared" si="7"/>
        <v>19530</v>
      </c>
      <c r="P7" s="291">
        <f t="shared" si="8"/>
        <v>1395</v>
      </c>
      <c r="Q7" s="44">
        <f t="shared" si="9"/>
        <v>93.381530949503997</v>
      </c>
      <c r="R7" s="44">
        <f t="shared" si="10"/>
        <v>76.706257565664004</v>
      </c>
      <c r="S7" s="44">
        <f t="shared" si="11"/>
        <v>27.080643975356157</v>
      </c>
      <c r="T7" s="44">
        <f t="shared" si="12"/>
        <v>22.244814694042557</v>
      </c>
      <c r="U7" s="44">
        <f t="shared" si="13"/>
        <v>66.300886974147843</v>
      </c>
      <c r="V7" s="44">
        <f t="shared" si="14"/>
        <v>54.461442871621443</v>
      </c>
      <c r="W7" s="24">
        <f t="shared" si="15"/>
        <v>120.76232984576929</v>
      </c>
      <c r="X7" s="46"/>
      <c r="Y7" s="46"/>
    </row>
    <row r="8" spans="1:25" x14ac:dyDescent="0.3">
      <c r="A8" s="139" t="s">
        <v>7</v>
      </c>
      <c r="B8" s="183">
        <v>9850.6</v>
      </c>
      <c r="C8" s="288">
        <v>6.0999999999999999E-2</v>
      </c>
      <c r="D8" s="183">
        <f t="shared" si="0"/>
        <v>600.88660000000004</v>
      </c>
      <c r="E8" s="19">
        <v>0.47</v>
      </c>
      <c r="F8" s="183">
        <f t="shared" si="1"/>
        <v>282.41670199999999</v>
      </c>
      <c r="G8" s="19">
        <v>0.62</v>
      </c>
      <c r="H8" s="183">
        <f t="shared" si="2"/>
        <v>175.09835523999999</v>
      </c>
      <c r="I8" s="19">
        <v>0.08</v>
      </c>
      <c r="J8" s="243">
        <f t="shared" si="3"/>
        <v>14.007868419199999</v>
      </c>
      <c r="K8" s="243">
        <f t="shared" si="4"/>
        <v>161.09048682079998</v>
      </c>
      <c r="L8" s="42">
        <v>0.28999999999999998</v>
      </c>
      <c r="M8" s="244">
        <f t="shared" si="5"/>
        <v>4.0622818415679998</v>
      </c>
      <c r="N8" s="244">
        <f t="shared" si="6"/>
        <v>46.716241178031993</v>
      </c>
      <c r="O8" s="244">
        <f t="shared" si="7"/>
        <v>19530</v>
      </c>
      <c r="P8" s="291">
        <f t="shared" si="8"/>
        <v>1395</v>
      </c>
      <c r="Q8" s="44">
        <f t="shared" si="9"/>
        <v>273.57367022697599</v>
      </c>
      <c r="R8" s="44">
        <f t="shared" si="10"/>
        <v>224.72122911501597</v>
      </c>
      <c r="S8" s="44">
        <f t="shared" si="11"/>
        <v>79.33636436582303</v>
      </c>
      <c r="T8" s="44">
        <f t="shared" si="12"/>
        <v>65.169156443354623</v>
      </c>
      <c r="U8" s="44">
        <f t="shared" si="13"/>
        <v>194.23730586115295</v>
      </c>
      <c r="V8" s="44">
        <f t="shared" si="14"/>
        <v>159.55207267166134</v>
      </c>
      <c r="W8" s="24">
        <f t="shared" si="15"/>
        <v>353.78937853281428</v>
      </c>
      <c r="X8" s="46"/>
      <c r="Y8" s="46"/>
    </row>
    <row r="9" spans="1:25" x14ac:dyDescent="0.3">
      <c r="A9" s="139" t="s">
        <v>8</v>
      </c>
      <c r="B9" s="183">
        <v>19485.599999999999</v>
      </c>
      <c r="C9" s="288">
        <v>6.0999999999999999E-2</v>
      </c>
      <c r="D9" s="183">
        <f t="shared" si="0"/>
        <v>1188.6215999999999</v>
      </c>
      <c r="E9" s="19">
        <v>0.47</v>
      </c>
      <c r="F9" s="183">
        <f t="shared" si="1"/>
        <v>558.65215199999989</v>
      </c>
      <c r="G9" s="19">
        <v>0.62</v>
      </c>
      <c r="H9" s="183">
        <f t="shared" si="2"/>
        <v>346.36433423999995</v>
      </c>
      <c r="I9" s="19">
        <v>0.08</v>
      </c>
      <c r="J9" s="243">
        <f t="shared" si="3"/>
        <v>27.709146739199998</v>
      </c>
      <c r="K9" s="243">
        <f t="shared" si="4"/>
        <v>318.65518750079997</v>
      </c>
      <c r="L9" s="42">
        <v>0.28999999999999998</v>
      </c>
      <c r="M9" s="244">
        <f t="shared" si="5"/>
        <v>8.0356525543679993</v>
      </c>
      <c r="N9" s="244">
        <f t="shared" si="6"/>
        <v>92.410004375231978</v>
      </c>
      <c r="O9" s="244">
        <f t="shared" si="7"/>
        <v>19530</v>
      </c>
      <c r="P9" s="291">
        <f t="shared" si="8"/>
        <v>1395</v>
      </c>
      <c r="Q9" s="44">
        <f t="shared" si="9"/>
        <v>541.15963581657593</v>
      </c>
      <c r="R9" s="44">
        <f t="shared" si="10"/>
        <v>444.52398656361595</v>
      </c>
      <c r="S9" s="44">
        <f t="shared" si="11"/>
        <v>156.93629438680702</v>
      </c>
      <c r="T9" s="44">
        <f t="shared" si="12"/>
        <v>128.9119561034486</v>
      </c>
      <c r="U9" s="44">
        <f t="shared" si="13"/>
        <v>384.22334142976888</v>
      </c>
      <c r="V9" s="44">
        <f t="shared" si="14"/>
        <v>315.61203046016738</v>
      </c>
      <c r="W9" s="24">
        <f t="shared" si="15"/>
        <v>699.83537188993625</v>
      </c>
      <c r="X9" s="46"/>
      <c r="Y9" s="46"/>
    </row>
    <row r="10" spans="1:25" x14ac:dyDescent="0.3">
      <c r="A10" s="139" t="s">
        <v>9</v>
      </c>
      <c r="B10" s="183">
        <v>819.6</v>
      </c>
      <c r="C10" s="288">
        <v>6.0999999999999999E-2</v>
      </c>
      <c r="D10" s="183">
        <f t="shared" si="0"/>
        <v>49.995600000000003</v>
      </c>
      <c r="E10" s="19">
        <v>0.47</v>
      </c>
      <c r="F10" s="183">
        <f t="shared" si="1"/>
        <v>23.497931999999999</v>
      </c>
      <c r="G10" s="19">
        <v>0.62</v>
      </c>
      <c r="H10" s="183">
        <f t="shared" si="2"/>
        <v>14.56871784</v>
      </c>
      <c r="I10" s="19">
        <v>0.08</v>
      </c>
      <c r="J10" s="243">
        <f t="shared" si="3"/>
        <v>1.1654974272</v>
      </c>
      <c r="K10" s="243">
        <f t="shared" si="4"/>
        <v>13.4032204128</v>
      </c>
      <c r="L10" s="42">
        <v>0.28999999999999998</v>
      </c>
      <c r="M10" s="244">
        <f t="shared" si="5"/>
        <v>0.33799425388799997</v>
      </c>
      <c r="N10" s="244">
        <f t="shared" si="6"/>
        <v>3.8869339197119994</v>
      </c>
      <c r="O10" s="244">
        <f t="shared" si="7"/>
        <v>19530</v>
      </c>
      <c r="P10" s="291">
        <f t="shared" si="8"/>
        <v>1395</v>
      </c>
      <c r="Q10" s="44">
        <f t="shared" si="9"/>
        <v>22.762164753216002</v>
      </c>
      <c r="R10" s="44">
        <f t="shared" si="10"/>
        <v>18.697492475856002</v>
      </c>
      <c r="S10" s="44">
        <f t="shared" si="11"/>
        <v>6.6010277784326403</v>
      </c>
      <c r="T10" s="44">
        <f t="shared" si="12"/>
        <v>5.4222728179982393</v>
      </c>
      <c r="U10" s="44">
        <f t="shared" si="13"/>
        <v>16.161136974783361</v>
      </c>
      <c r="V10" s="44">
        <f t="shared" si="14"/>
        <v>13.275219657857763</v>
      </c>
      <c r="W10" s="24">
        <f t="shared" si="15"/>
        <v>29.436356632641122</v>
      </c>
      <c r="X10" s="46"/>
      <c r="Y10" s="46"/>
    </row>
    <row r="11" spans="1:25" x14ac:dyDescent="0.3">
      <c r="A11" s="139" t="s">
        <v>10</v>
      </c>
      <c r="B11" s="183">
        <v>3785</v>
      </c>
      <c r="C11" s="288">
        <v>6.0999999999999999E-2</v>
      </c>
      <c r="D11" s="183">
        <f t="shared" si="0"/>
        <v>230.88499999999999</v>
      </c>
      <c r="E11" s="19">
        <v>0.47</v>
      </c>
      <c r="F11" s="183">
        <f t="shared" si="1"/>
        <v>108.51594999999999</v>
      </c>
      <c r="G11" s="19">
        <v>0.62</v>
      </c>
      <c r="H11" s="183">
        <f t="shared" si="2"/>
        <v>67.279888999999997</v>
      </c>
      <c r="I11" s="19">
        <v>0.08</v>
      </c>
      <c r="J11" s="243">
        <f t="shared" si="3"/>
        <v>5.3823911200000003</v>
      </c>
      <c r="K11" s="243">
        <f t="shared" si="4"/>
        <v>61.897497879999996</v>
      </c>
      <c r="L11" s="42">
        <v>0.28999999999999998</v>
      </c>
      <c r="M11" s="244">
        <f t="shared" si="5"/>
        <v>1.5608934247999999</v>
      </c>
      <c r="N11" s="244">
        <f t="shared" si="6"/>
        <v>17.950274385199997</v>
      </c>
      <c r="O11" s="244">
        <f t="shared" si="7"/>
        <v>19530</v>
      </c>
      <c r="P11" s="291">
        <f t="shared" si="8"/>
        <v>1395</v>
      </c>
      <c r="Q11" s="44">
        <f t="shared" si="9"/>
        <v>105.11809857359999</v>
      </c>
      <c r="R11" s="44">
        <f t="shared" si="10"/>
        <v>86.347009542599992</v>
      </c>
      <c r="S11" s="44">
        <f t="shared" si="11"/>
        <v>30.484248586343998</v>
      </c>
      <c r="T11" s="44">
        <f t="shared" si="12"/>
        <v>25.040632767353998</v>
      </c>
      <c r="U11" s="44">
        <f t="shared" si="13"/>
        <v>74.633849987255999</v>
      </c>
      <c r="V11" s="44">
        <f t="shared" si="14"/>
        <v>61.306376775245994</v>
      </c>
      <c r="W11" s="24">
        <f t="shared" si="15"/>
        <v>135.94022676250199</v>
      </c>
      <c r="X11" s="46"/>
      <c r="Y11" s="46"/>
    </row>
    <row r="12" spans="1:25" x14ac:dyDescent="0.3">
      <c r="A12" s="139" t="s">
        <v>11</v>
      </c>
      <c r="B12" s="183">
        <v>2018</v>
      </c>
      <c r="C12" s="288">
        <v>6.0999999999999999E-2</v>
      </c>
      <c r="D12" s="183">
        <f t="shared" si="0"/>
        <v>123.098</v>
      </c>
      <c r="E12" s="19">
        <v>0.47</v>
      </c>
      <c r="F12" s="183">
        <f>D12*E12</f>
        <v>57.856059999999999</v>
      </c>
      <c r="G12" s="19">
        <v>0.62</v>
      </c>
      <c r="H12" s="183">
        <f t="shared" si="2"/>
        <v>35.8707572</v>
      </c>
      <c r="I12" s="19">
        <v>0.08</v>
      </c>
      <c r="J12" s="243">
        <f t="shared" si="3"/>
        <v>2.8696605760000002</v>
      </c>
      <c r="K12" s="243">
        <f t="shared" si="4"/>
        <v>33.001096623999999</v>
      </c>
      <c r="L12" s="42">
        <v>0.28999999999999998</v>
      </c>
      <c r="M12" s="244">
        <f t="shared" si="5"/>
        <v>0.83220156704000003</v>
      </c>
      <c r="N12" s="244">
        <f t="shared" si="6"/>
        <v>9.5703180209599985</v>
      </c>
      <c r="O12" s="244">
        <f t="shared" si="7"/>
        <v>19530</v>
      </c>
      <c r="P12" s="291">
        <f t="shared" si="8"/>
        <v>1395</v>
      </c>
      <c r="Q12" s="44">
        <f t="shared" si="9"/>
        <v>56.044471049280006</v>
      </c>
      <c r="R12" s="44">
        <f t="shared" si="10"/>
        <v>46.036529790479996</v>
      </c>
      <c r="S12" s="44">
        <f t="shared" si="11"/>
        <v>16.252896604291198</v>
      </c>
      <c r="T12" s="44">
        <f t="shared" si="12"/>
        <v>13.350593639239198</v>
      </c>
      <c r="U12" s="44">
        <f t="shared" si="13"/>
        <v>39.791574444988811</v>
      </c>
      <c r="V12" s="44">
        <f t="shared" si="14"/>
        <v>32.685936151240796</v>
      </c>
      <c r="W12" s="24">
        <f t="shared" si="15"/>
        <v>72.477510596229607</v>
      </c>
      <c r="X12" s="46"/>
      <c r="Y12" s="46"/>
    </row>
    <row r="13" spans="1:25" x14ac:dyDescent="0.3">
      <c r="A13" s="139" t="s">
        <v>12</v>
      </c>
      <c r="B13" s="183">
        <v>5883</v>
      </c>
      <c r="C13" s="288">
        <v>6.0999999999999999E-2</v>
      </c>
      <c r="D13" s="183">
        <f t="shared" si="0"/>
        <v>358.863</v>
      </c>
      <c r="E13" s="19">
        <v>0.47</v>
      </c>
      <c r="F13" s="183">
        <f t="shared" si="1"/>
        <v>168.66560999999999</v>
      </c>
      <c r="G13" s="19">
        <v>0.62</v>
      </c>
      <c r="H13" s="183">
        <f t="shared" si="2"/>
        <v>104.57267819999998</v>
      </c>
      <c r="I13" s="19">
        <v>0.08</v>
      </c>
      <c r="J13" s="243">
        <f t="shared" si="3"/>
        <v>8.3658142559999984</v>
      </c>
      <c r="K13" s="243">
        <f t="shared" si="4"/>
        <v>96.206863943999991</v>
      </c>
      <c r="L13" s="42">
        <v>0.28999999999999998</v>
      </c>
      <c r="M13" s="244">
        <f t="shared" si="5"/>
        <v>2.4260861342399993</v>
      </c>
      <c r="N13" s="244">
        <f t="shared" si="6"/>
        <v>27.899990543759994</v>
      </c>
      <c r="O13" s="244">
        <f t="shared" si="7"/>
        <v>19530</v>
      </c>
      <c r="P13" s="291">
        <f t="shared" si="8"/>
        <v>1395</v>
      </c>
      <c r="Q13" s="44">
        <f t="shared" si="9"/>
        <v>163.38435241967994</v>
      </c>
      <c r="R13" s="44">
        <f t="shared" si="10"/>
        <v>134.20857520188</v>
      </c>
      <c r="S13" s="44">
        <f t="shared" si="11"/>
        <v>47.381462201707187</v>
      </c>
      <c r="T13" s="44">
        <f t="shared" si="12"/>
        <v>38.920486808545192</v>
      </c>
      <c r="U13" s="44">
        <f t="shared" si="13"/>
        <v>116.00289021797275</v>
      </c>
      <c r="V13" s="44">
        <f t="shared" si="14"/>
        <v>95.288088393334803</v>
      </c>
      <c r="W13" s="24">
        <f t="shared" si="15"/>
        <v>211.29097861130754</v>
      </c>
      <c r="X13" s="46"/>
      <c r="Y13" s="46"/>
    </row>
    <row r="14" spans="1:25" x14ac:dyDescent="0.3">
      <c r="A14" s="139" t="s">
        <v>13</v>
      </c>
      <c r="B14" s="183">
        <v>4927.2</v>
      </c>
      <c r="C14" s="288">
        <v>6.0999999999999999E-2</v>
      </c>
      <c r="D14" s="183">
        <f>B14*C14</f>
        <v>300.55919999999998</v>
      </c>
      <c r="E14" s="19">
        <v>0.47</v>
      </c>
      <c r="F14" s="183">
        <f t="shared" si="1"/>
        <v>141.26282399999997</v>
      </c>
      <c r="G14" s="19">
        <v>0.62</v>
      </c>
      <c r="H14" s="183">
        <f t="shared" si="2"/>
        <v>87.582950879999984</v>
      </c>
      <c r="I14" s="19">
        <v>0.08</v>
      </c>
      <c r="J14" s="243">
        <f t="shared" si="3"/>
        <v>7.006636070399999</v>
      </c>
      <c r="K14" s="243">
        <f t="shared" si="4"/>
        <v>80.576314809599978</v>
      </c>
      <c r="L14" s="42">
        <v>0.28999999999999998</v>
      </c>
      <c r="M14" s="244">
        <f t="shared" si="5"/>
        <v>2.0319244604159996</v>
      </c>
      <c r="N14" s="244">
        <f t="shared" si="6"/>
        <v>23.367131294783992</v>
      </c>
      <c r="O14" s="244">
        <f t="shared" si="7"/>
        <v>19530</v>
      </c>
      <c r="P14" s="291">
        <f t="shared" si="8"/>
        <v>1395</v>
      </c>
      <c r="Q14" s="44">
        <f t="shared" si="9"/>
        <v>136.83960245491198</v>
      </c>
      <c r="R14" s="44">
        <f t="shared" si="10"/>
        <v>112.40395915939197</v>
      </c>
      <c r="S14" s="44">
        <f t="shared" si="11"/>
        <v>39.683484711924471</v>
      </c>
      <c r="T14" s="44">
        <f t="shared" si="12"/>
        <v>32.597148156223668</v>
      </c>
      <c r="U14" s="44">
        <f t="shared" si="13"/>
        <v>97.156117742987504</v>
      </c>
      <c r="V14" s="44">
        <f t="shared" si="14"/>
        <v>79.806811003168306</v>
      </c>
      <c r="W14" s="24">
        <f t="shared" si="15"/>
        <v>176.9629287461558</v>
      </c>
      <c r="X14" s="46"/>
      <c r="Y14" s="46"/>
    </row>
    <row r="15" spans="1:25" x14ac:dyDescent="0.3">
      <c r="A15" s="139" t="s">
        <v>14</v>
      </c>
      <c r="B15" s="183">
        <v>1450.2</v>
      </c>
      <c r="C15" s="288">
        <v>6.0999999999999999E-2</v>
      </c>
      <c r="D15" s="183">
        <f t="shared" si="0"/>
        <v>88.462199999999996</v>
      </c>
      <c r="E15" s="19">
        <v>0.47</v>
      </c>
      <c r="F15" s="183">
        <f t="shared" si="1"/>
        <v>41.577233999999997</v>
      </c>
      <c r="G15" s="19">
        <v>0.62</v>
      </c>
      <c r="H15" s="183">
        <f t="shared" si="2"/>
        <v>25.777885079999997</v>
      </c>
      <c r="I15" s="19">
        <v>0.08</v>
      </c>
      <c r="J15" s="243">
        <f t="shared" si="3"/>
        <v>2.0622308063999997</v>
      </c>
      <c r="K15" s="243">
        <f t="shared" si="4"/>
        <v>23.715654273599998</v>
      </c>
      <c r="L15" s="42">
        <v>0.28999999999999998</v>
      </c>
      <c r="M15" s="244">
        <f t="shared" si="5"/>
        <v>0.59804693385599983</v>
      </c>
      <c r="N15" s="244">
        <f t="shared" si="6"/>
        <v>6.877539739343999</v>
      </c>
      <c r="O15" s="244">
        <f t="shared" si="7"/>
        <v>19530</v>
      </c>
      <c r="P15" s="291">
        <f t="shared" si="8"/>
        <v>1395</v>
      </c>
      <c r="Q15" s="44">
        <f t="shared" si="9"/>
        <v>40.275367648991995</v>
      </c>
      <c r="R15" s="44">
        <f t="shared" si="10"/>
        <v>33.083337711672002</v>
      </c>
      <c r="S15" s="44">
        <f t="shared" si="11"/>
        <v>11.679856618207678</v>
      </c>
      <c r="T15" s="44">
        <f t="shared" si="12"/>
        <v>9.5941679363848777</v>
      </c>
      <c r="U15" s="44">
        <f t="shared" si="13"/>
        <v>28.595511030784316</v>
      </c>
      <c r="V15" s="44">
        <f t="shared" si="14"/>
        <v>23.489169775287124</v>
      </c>
      <c r="W15" s="24">
        <f t="shared" si="15"/>
        <v>52.084680806071439</v>
      </c>
      <c r="X15" s="46"/>
      <c r="Y15" s="46"/>
    </row>
    <row r="16" spans="1:25" x14ac:dyDescent="0.3">
      <c r="A16" s="139" t="s">
        <v>15</v>
      </c>
      <c r="B16" s="183">
        <v>1799.2</v>
      </c>
      <c r="C16" s="288">
        <v>6.0999999999999999E-2</v>
      </c>
      <c r="D16" s="183">
        <f t="shared" si="0"/>
        <v>109.7512</v>
      </c>
      <c r="E16" s="19">
        <v>0.47</v>
      </c>
      <c r="F16" s="183">
        <f t="shared" si="1"/>
        <v>51.583063999999993</v>
      </c>
      <c r="G16" s="19">
        <v>0.62</v>
      </c>
      <c r="H16" s="183">
        <f t="shared" si="2"/>
        <v>31.981499679999995</v>
      </c>
      <c r="I16" s="19">
        <v>0.08</v>
      </c>
      <c r="J16" s="243">
        <f t="shared" si="3"/>
        <v>2.5585199743999998</v>
      </c>
      <c r="K16" s="243">
        <f t="shared" si="4"/>
        <v>29.422979705599996</v>
      </c>
      <c r="L16" s="42">
        <v>0.28999999999999998</v>
      </c>
      <c r="M16" s="244">
        <f t="shared" si="5"/>
        <v>0.74197079257599985</v>
      </c>
      <c r="N16" s="244">
        <f t="shared" si="6"/>
        <v>8.5326641146239979</v>
      </c>
      <c r="O16" s="244">
        <f t="shared" si="7"/>
        <v>19530</v>
      </c>
      <c r="P16" s="291">
        <f t="shared" si="8"/>
        <v>1395</v>
      </c>
      <c r="Q16" s="44">
        <f t="shared" si="9"/>
        <v>49.967895100031996</v>
      </c>
      <c r="R16" s="44">
        <f t="shared" si="10"/>
        <v>41.045056689311998</v>
      </c>
      <c r="S16" s="44">
        <f t="shared" si="11"/>
        <v>14.490689579009278</v>
      </c>
      <c r="T16" s="44">
        <f t="shared" si="12"/>
        <v>11.903066439900476</v>
      </c>
      <c r="U16" s="44">
        <f t="shared" si="13"/>
        <v>35.477205521022718</v>
      </c>
      <c r="V16" s="44">
        <f t="shared" si="14"/>
        <v>29.141990249411521</v>
      </c>
      <c r="W16" s="24">
        <f t="shared" si="15"/>
        <v>64.619195770434231</v>
      </c>
      <c r="X16" s="46"/>
      <c r="Y16" s="46"/>
    </row>
    <row r="17" spans="1:25" s="320" customFormat="1" x14ac:dyDescent="0.3">
      <c r="A17" s="310" t="s">
        <v>16</v>
      </c>
      <c r="B17" s="311">
        <v>7980.8</v>
      </c>
      <c r="C17" s="312">
        <v>6.0999999999999999E-2</v>
      </c>
      <c r="D17" s="311">
        <f t="shared" si="0"/>
        <v>486.8288</v>
      </c>
      <c r="E17" s="313">
        <v>0.47</v>
      </c>
      <c r="F17" s="311">
        <f t="shared" si="1"/>
        <v>228.80953599999998</v>
      </c>
      <c r="G17" s="313">
        <v>0.62</v>
      </c>
      <c r="H17" s="311">
        <f t="shared" si="2"/>
        <v>141.86191231999999</v>
      </c>
      <c r="I17" s="313">
        <v>0.08</v>
      </c>
      <c r="J17" s="314">
        <f t="shared" si="3"/>
        <v>11.348952985599999</v>
      </c>
      <c r="K17" s="314">
        <f t="shared" si="4"/>
        <v>130.51295933439999</v>
      </c>
      <c r="L17" s="315">
        <v>0.28999999999999998</v>
      </c>
      <c r="M17" s="316">
        <f t="shared" si="5"/>
        <v>3.2911963658239993</v>
      </c>
      <c r="N17" s="316">
        <f t="shared" si="6"/>
        <v>37.848758206975994</v>
      </c>
      <c r="O17" s="316">
        <f t="shared" si="7"/>
        <v>19530</v>
      </c>
      <c r="P17" s="317">
        <f t="shared" si="8"/>
        <v>1395</v>
      </c>
      <c r="Q17" s="318">
        <f t="shared" si="9"/>
        <v>221.64505180876799</v>
      </c>
      <c r="R17" s="318">
        <f t="shared" si="10"/>
        <v>182.06557827148799</v>
      </c>
      <c r="S17" s="318">
        <f t="shared" si="11"/>
        <v>64.277065024542708</v>
      </c>
      <c r="T17" s="318">
        <f t="shared" si="12"/>
        <v>52.799017698731511</v>
      </c>
      <c r="U17" s="318">
        <f t="shared" si="13"/>
        <v>157.36798678422528</v>
      </c>
      <c r="V17" s="318">
        <f t="shared" si="14"/>
        <v>129.26656057275648</v>
      </c>
      <c r="W17" s="319">
        <f t="shared" si="15"/>
        <v>286.63454735698178</v>
      </c>
    </row>
    <row r="18" spans="1:25" x14ac:dyDescent="0.3">
      <c r="A18" s="139" t="s">
        <v>17</v>
      </c>
      <c r="B18" s="183">
        <v>2399</v>
      </c>
      <c r="C18" s="288">
        <v>6.0999999999999999E-2</v>
      </c>
      <c r="D18" s="183">
        <f t="shared" si="0"/>
        <v>146.339</v>
      </c>
      <c r="E18" s="19">
        <v>0.47</v>
      </c>
      <c r="F18" s="183">
        <f t="shared" si="1"/>
        <v>68.779330000000002</v>
      </c>
      <c r="G18" s="19">
        <v>0.62</v>
      </c>
      <c r="H18" s="183">
        <f t="shared" si="2"/>
        <v>42.643184599999998</v>
      </c>
      <c r="I18" s="19">
        <v>0.08</v>
      </c>
      <c r="J18" s="243">
        <f t="shared" si="3"/>
        <v>3.411454768</v>
      </c>
      <c r="K18" s="243">
        <f t="shared" si="4"/>
        <v>39.231729831999999</v>
      </c>
      <c r="L18" s="43">
        <v>0.28999999999999998</v>
      </c>
      <c r="M18" s="244">
        <f t="shared" si="5"/>
        <v>0.98932188271999999</v>
      </c>
      <c r="N18" s="244">
        <f t="shared" si="6"/>
        <v>11.377201651279998</v>
      </c>
      <c r="O18" s="244">
        <f t="shared" si="7"/>
        <v>19530</v>
      </c>
      <c r="P18" s="291">
        <f t="shared" si="8"/>
        <v>1395</v>
      </c>
      <c r="Q18" s="44">
        <f t="shared" si="9"/>
        <v>66.625711619040004</v>
      </c>
      <c r="R18" s="44">
        <f t="shared" si="10"/>
        <v>54.728263115640004</v>
      </c>
      <c r="S18" s="44">
        <f t="shared" si="11"/>
        <v>19.321456369521599</v>
      </c>
      <c r="T18" s="44">
        <f t="shared" si="12"/>
        <v>15.871196303535598</v>
      </c>
      <c r="U18" s="44">
        <f t="shared" si="13"/>
        <v>47.304255249518405</v>
      </c>
      <c r="V18" s="44">
        <f t="shared" si="14"/>
        <v>38.857066812104406</v>
      </c>
      <c r="W18" s="24">
        <f>SUM(U18:V18)</f>
        <v>86.161322061622812</v>
      </c>
      <c r="X18" s="46"/>
      <c r="Y18" s="46"/>
    </row>
    <row r="19" spans="1:25" x14ac:dyDescent="0.3">
      <c r="A19" s="141"/>
      <c r="B19" s="297"/>
      <c r="C19" s="298"/>
      <c r="D19" s="297"/>
      <c r="E19" s="298"/>
      <c r="F19" s="297"/>
      <c r="G19" s="298"/>
      <c r="H19" s="297"/>
      <c r="I19" s="298"/>
      <c r="J19" s="294"/>
      <c r="K19" s="294"/>
      <c r="L19" s="293"/>
      <c r="M19" s="294"/>
      <c r="N19" s="294"/>
      <c r="O19" s="295"/>
      <c r="P19" s="296"/>
      <c r="Q19" s="291"/>
      <c r="R19" s="291"/>
      <c r="S19" s="291"/>
      <c r="T19" s="291"/>
      <c r="U19" s="291"/>
      <c r="V19" s="291" t="s">
        <v>408</v>
      </c>
      <c r="W19" s="299">
        <f>W17/W2</f>
        <v>0.10188279255651594</v>
      </c>
      <c r="X19" s="46"/>
      <c r="Y19" s="46"/>
    </row>
    <row r="20" spans="1:25" x14ac:dyDescent="0.3">
      <c r="A20" s="53" t="s">
        <v>368</v>
      </c>
      <c r="B20" s="250"/>
      <c r="C20" s="251"/>
      <c r="D20" s="250"/>
      <c r="E20" s="251"/>
      <c r="F20" s="250"/>
      <c r="G20" s="251"/>
      <c r="H20" s="250"/>
      <c r="I20" s="251"/>
      <c r="J20" s="252"/>
      <c r="K20" s="252"/>
      <c r="L20" s="251"/>
      <c r="M20" s="252"/>
      <c r="N20" s="252"/>
      <c r="O20" s="252"/>
      <c r="P20" s="253"/>
      <c r="Q20" s="253"/>
      <c r="R20" s="253"/>
      <c r="S20" s="253"/>
      <c r="T20" s="253"/>
      <c r="U20" s="253"/>
      <c r="V20" s="253"/>
      <c r="W20" s="254"/>
      <c r="X20" s="46"/>
      <c r="Y20" s="46"/>
    </row>
    <row r="21" spans="1:25" x14ac:dyDescent="0.3">
      <c r="A21" s="172"/>
      <c r="B21" s="185"/>
      <c r="C21" s="247"/>
      <c r="D21" s="185"/>
      <c r="E21" s="247"/>
      <c r="F21" s="185"/>
      <c r="G21" s="247"/>
      <c r="H21" s="185"/>
      <c r="I21" s="247"/>
      <c r="J21" s="248"/>
      <c r="K21" s="248"/>
      <c r="L21" s="247"/>
      <c r="M21" s="248"/>
      <c r="N21" s="248"/>
      <c r="O21" s="248"/>
      <c r="P21" s="249"/>
      <c r="Q21" s="249"/>
      <c r="R21" s="249"/>
      <c r="S21" s="249"/>
      <c r="T21" s="249"/>
      <c r="U21" s="249"/>
      <c r="V21" s="249"/>
      <c r="W21" s="249"/>
      <c r="X21" s="46"/>
      <c r="Y21" s="46"/>
    </row>
    <row r="22" spans="1:25" x14ac:dyDescent="0.3">
      <c r="A22" s="53" t="s">
        <v>369</v>
      </c>
      <c r="B22" s="250"/>
      <c r="C22" s="251"/>
      <c r="D22" s="250"/>
      <c r="E22" s="251"/>
      <c r="F22" s="250"/>
      <c r="G22" s="251"/>
      <c r="H22" s="250"/>
      <c r="I22" s="251"/>
      <c r="J22" s="252"/>
      <c r="K22" s="252"/>
      <c r="L22" s="251"/>
      <c r="M22" s="252"/>
      <c r="N22" s="252"/>
      <c r="O22" s="252"/>
      <c r="P22" s="253"/>
      <c r="Q22" s="253"/>
      <c r="R22" s="253"/>
      <c r="S22" s="253"/>
      <c r="T22" s="253"/>
      <c r="U22" s="253"/>
      <c r="V22" s="253"/>
      <c r="W22" s="254"/>
      <c r="X22" s="46"/>
      <c r="Y22" s="46"/>
    </row>
    <row r="23" spans="1:25" x14ac:dyDescent="0.3">
      <c r="A23" s="172"/>
      <c r="B23" s="185"/>
      <c r="C23" s="247"/>
      <c r="D23" s="185"/>
      <c r="E23" s="247"/>
      <c r="F23" s="185"/>
      <c r="G23" s="247"/>
      <c r="H23" s="185"/>
      <c r="I23" s="247"/>
      <c r="J23" s="248"/>
      <c r="K23" s="248"/>
      <c r="L23" s="247"/>
      <c r="M23" s="248"/>
      <c r="N23" s="248"/>
      <c r="O23" s="248"/>
      <c r="P23" s="249"/>
      <c r="Q23" s="249"/>
      <c r="R23" s="249"/>
      <c r="S23" s="249"/>
      <c r="T23" s="249"/>
      <c r="U23" s="249"/>
      <c r="V23" s="249"/>
      <c r="W23" s="249"/>
      <c r="X23" s="46"/>
      <c r="Y23" s="46"/>
    </row>
    <row r="24" spans="1:25" x14ac:dyDescent="0.3">
      <c r="A24" s="53" t="s">
        <v>370</v>
      </c>
      <c r="B24" s="250"/>
      <c r="C24" s="251"/>
      <c r="D24" s="250"/>
      <c r="E24" s="251"/>
      <c r="F24" s="250"/>
      <c r="G24" s="251"/>
      <c r="H24" s="250"/>
      <c r="I24" s="251"/>
      <c r="J24" s="252"/>
      <c r="K24" s="252"/>
      <c r="L24" s="251"/>
      <c r="M24" s="252"/>
      <c r="N24" s="252"/>
      <c r="O24" s="252"/>
      <c r="P24" s="253"/>
      <c r="Q24" s="253"/>
      <c r="R24" s="253"/>
      <c r="S24" s="253"/>
      <c r="T24" s="253"/>
      <c r="U24" s="253"/>
      <c r="V24" s="253"/>
      <c r="W24" s="254"/>
      <c r="X24" s="46"/>
      <c r="Y24" s="46"/>
    </row>
    <row r="25" spans="1:25" x14ac:dyDescent="0.3">
      <c r="A25" s="179"/>
      <c r="B25" s="185"/>
      <c r="C25" s="247"/>
      <c r="D25" s="185"/>
      <c r="E25" s="247"/>
      <c r="F25" s="185"/>
      <c r="G25" s="247"/>
      <c r="H25" s="185"/>
      <c r="I25" s="247"/>
      <c r="J25" s="248"/>
      <c r="K25" s="248"/>
      <c r="L25" s="247"/>
      <c r="M25" s="248"/>
      <c r="N25" s="248"/>
      <c r="O25" s="248"/>
      <c r="P25" s="249"/>
      <c r="Q25" s="249"/>
      <c r="R25" s="249"/>
      <c r="S25" s="249"/>
      <c r="T25" s="249"/>
      <c r="U25" s="249"/>
      <c r="V25" s="249"/>
      <c r="W25" s="249"/>
      <c r="X25" s="46"/>
      <c r="Y25" s="46"/>
    </row>
    <row r="26" spans="1:25" x14ac:dyDescent="0.3">
      <c r="A26" s="53" t="s">
        <v>371</v>
      </c>
      <c r="B26" s="250"/>
      <c r="C26" s="251"/>
      <c r="D26" s="250"/>
      <c r="E26" s="251"/>
      <c r="F26" s="250"/>
      <c r="G26" s="251"/>
      <c r="H26" s="250"/>
      <c r="I26" s="251"/>
      <c r="J26" s="252"/>
      <c r="K26" s="252"/>
      <c r="L26" s="251"/>
      <c r="M26" s="252"/>
      <c r="N26" s="252"/>
      <c r="O26" s="252"/>
      <c r="P26" s="253"/>
      <c r="Q26" s="253"/>
      <c r="R26" s="253"/>
      <c r="S26" s="253"/>
      <c r="T26" s="253"/>
      <c r="U26" s="253"/>
      <c r="V26" s="253"/>
      <c r="W26" s="254"/>
      <c r="X26" s="46"/>
      <c r="Y26" s="46"/>
    </row>
    <row r="27" spans="1:25" x14ac:dyDescent="0.3">
      <c r="A27" s="179"/>
      <c r="B27" s="185"/>
      <c r="C27" s="247"/>
      <c r="D27" s="185"/>
      <c r="E27" s="247"/>
      <c r="F27" s="185"/>
      <c r="G27" s="247"/>
      <c r="H27" s="185"/>
      <c r="I27" s="247"/>
      <c r="J27" s="248"/>
      <c r="K27" s="248"/>
      <c r="L27" s="247"/>
      <c r="M27" s="248"/>
      <c r="N27" s="248"/>
      <c r="O27" s="248"/>
      <c r="P27" s="249"/>
      <c r="Q27" s="249"/>
      <c r="R27" s="249"/>
      <c r="S27" s="249"/>
      <c r="T27" s="249"/>
      <c r="U27" s="249"/>
      <c r="V27" s="249"/>
      <c r="W27" s="249"/>
      <c r="X27" s="46"/>
      <c r="Y27" s="46"/>
    </row>
    <row r="28" spans="1:25" x14ac:dyDescent="0.3">
      <c r="A28" s="53" t="s">
        <v>372</v>
      </c>
      <c r="B28" s="250"/>
      <c r="C28" s="251"/>
      <c r="D28" s="250"/>
      <c r="E28" s="251"/>
      <c r="F28" s="250"/>
      <c r="G28" s="251"/>
      <c r="H28" s="250"/>
      <c r="I28" s="251"/>
      <c r="J28" s="252"/>
      <c r="K28" s="252"/>
      <c r="L28" s="251"/>
      <c r="M28" s="252"/>
      <c r="N28" s="252"/>
      <c r="O28" s="252"/>
      <c r="P28" s="253"/>
      <c r="Q28" s="253"/>
      <c r="R28" s="253"/>
      <c r="S28" s="253"/>
      <c r="T28" s="253"/>
      <c r="U28" s="253"/>
      <c r="V28" s="253"/>
      <c r="W28" s="254"/>
      <c r="X28" s="46"/>
      <c r="Y28" s="46"/>
    </row>
    <row r="29" spans="1:25" x14ac:dyDescent="0.3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</row>
  </sheetData>
  <pageMargins left="0.7" right="0.7" top="0.75" bottom="0.75" header="0.3" footer="0.3"/>
  <pageSetup paperSize="9" orientation="portrait" horizontalDpi="4294967294" verticalDpi="4294967294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O17"/>
  <sheetViews>
    <sheetView zoomScale="90" zoomScaleNormal="90" workbookViewId="0">
      <pane xSplit="1" topLeftCell="C1" activePane="topRight" state="frozen"/>
      <selection pane="topRight" activeCell="M1" sqref="M1"/>
    </sheetView>
  </sheetViews>
  <sheetFormatPr defaultRowHeight="14.4" x14ac:dyDescent="0.3"/>
  <cols>
    <col min="1" max="1" width="16.109375" customWidth="1"/>
    <col min="2" max="2" width="25.109375" customWidth="1"/>
    <col min="3" max="3" width="24.33203125" customWidth="1"/>
    <col min="4" max="4" width="23.109375" customWidth="1"/>
    <col min="5" max="5" width="20.33203125" customWidth="1"/>
    <col min="6" max="6" width="16.5546875" customWidth="1"/>
    <col min="7" max="7" width="17.33203125" customWidth="1"/>
    <col min="8" max="8" width="19.88671875" customWidth="1"/>
    <col min="9" max="9" width="17.33203125" customWidth="1"/>
    <col min="10" max="11" width="11.88671875" customWidth="1"/>
    <col min="12" max="12" width="11.6640625" bestFit="1" customWidth="1"/>
    <col min="13" max="13" width="13.6640625" customWidth="1"/>
    <col min="14" max="14" width="9.6640625" bestFit="1" customWidth="1"/>
  </cols>
  <sheetData>
    <row r="1" spans="1:15" ht="60.75" customHeight="1" x14ac:dyDescent="0.3">
      <c r="A1" s="218" t="s">
        <v>122</v>
      </c>
      <c r="B1" s="218" t="s">
        <v>384</v>
      </c>
      <c r="C1" s="292" t="s">
        <v>374</v>
      </c>
      <c r="D1" s="292" t="s">
        <v>375</v>
      </c>
      <c r="E1" s="218" t="s">
        <v>376</v>
      </c>
      <c r="F1" s="218" t="s">
        <v>377</v>
      </c>
      <c r="G1" s="292" t="s">
        <v>378</v>
      </c>
      <c r="H1" s="218" t="s">
        <v>379</v>
      </c>
      <c r="I1" s="218" t="s">
        <v>380</v>
      </c>
      <c r="J1" s="218" t="s">
        <v>381</v>
      </c>
      <c r="K1" s="218" t="s">
        <v>382</v>
      </c>
      <c r="L1" s="259" t="s">
        <v>386</v>
      </c>
      <c r="M1" s="301" t="s">
        <v>420</v>
      </c>
      <c r="N1" s="308" t="s">
        <v>425</v>
      </c>
      <c r="O1" s="308" t="s">
        <v>424</v>
      </c>
    </row>
    <row r="2" spans="1:15" x14ac:dyDescent="0.3">
      <c r="A2" s="239"/>
      <c r="B2" s="240" t="s">
        <v>63</v>
      </c>
      <c r="C2" s="257" t="s">
        <v>373</v>
      </c>
      <c r="D2" s="240" t="s">
        <v>373</v>
      </c>
      <c r="E2" s="240" t="s">
        <v>83</v>
      </c>
      <c r="F2" s="240" t="s">
        <v>83</v>
      </c>
      <c r="G2" s="240" t="s">
        <v>373</v>
      </c>
      <c r="H2" s="240" t="s">
        <v>83</v>
      </c>
      <c r="I2" s="240" t="s">
        <v>83</v>
      </c>
      <c r="J2" s="240" t="s">
        <v>83</v>
      </c>
      <c r="K2" s="241" t="s">
        <v>83</v>
      </c>
      <c r="L2" s="241" t="s">
        <v>83</v>
      </c>
      <c r="M2" s="241" t="s">
        <v>83</v>
      </c>
      <c r="N2" s="307"/>
      <c r="O2" s="307"/>
    </row>
    <row r="3" spans="1:15" x14ac:dyDescent="0.3">
      <c r="A3" s="126">
        <v>2020</v>
      </c>
      <c r="B3" s="63">
        <f>'5.1.1 Nakłady lata'!U2</f>
        <v>184495.09551672265</v>
      </c>
      <c r="C3" s="258">
        <f>'5.1.4 Luka kapitał'!Q2/Tabela1619[[#This Row],[Nakłady łącznie MŚP (w mln zł)]]</f>
        <v>1.1793705182915769E-2</v>
      </c>
      <c r="D3" s="258">
        <f>'5.1.4 Luka kapitał'!R2/Tabela1619[[#This Row],[Nakłady łącznie MŚP (w mln zł)]]</f>
        <v>9.6876864002522385E-3</v>
      </c>
      <c r="E3" s="63">
        <f>'5.1.4 Luka kapitał'!Q2</f>
        <v>2175.8807642181118</v>
      </c>
      <c r="F3" s="63">
        <f>'5.1.4 Luka kapitał'!R2</f>
        <v>1787.3306277505917</v>
      </c>
      <c r="G3" s="228">
        <v>0.28999999999999998</v>
      </c>
      <c r="H3" s="229">
        <f>'5.1.4 Luka kapitał'!S2</f>
        <v>631.28247793801336</v>
      </c>
      <c r="I3" s="230">
        <f>'5.1.4 Luka kapitał'!T2</f>
        <v>518.55346402051089</v>
      </c>
      <c r="J3" s="230">
        <f>'5.1.4 Luka kapitał'!U2</f>
        <v>1544.5982862800984</v>
      </c>
      <c r="K3" s="231">
        <f>'5.1.4 Luka kapitał'!V2</f>
        <v>1268.7771637300807</v>
      </c>
      <c r="L3" s="260">
        <f>SUM(Tabela1619[[#This Row],[Luka kapitałowa - faza wzrostu]:[Luka kapitałowa - faza wczesna]])</f>
        <v>2813.3754500101791</v>
      </c>
      <c r="M3" s="300">
        <f>Tabela1619[[#This Row],[Luka kapitałowa - razem]]*Tabela17[[#Totals],[Luka kapitałowa łącznie 2020]]</f>
        <v>286.63454735698178</v>
      </c>
      <c r="N3" s="307">
        <v>1</v>
      </c>
      <c r="O3" s="307"/>
    </row>
    <row r="4" spans="1:15" x14ac:dyDescent="0.3">
      <c r="A4" s="126">
        <v>2021</v>
      </c>
      <c r="B4" s="63">
        <f>'5.1.1 Nakłady lata'!U3</f>
        <v>190778.97114133445</v>
      </c>
      <c r="C4" s="258">
        <f>C3</f>
        <v>1.1793705182915769E-2</v>
      </c>
      <c r="D4" s="258">
        <f>D3</f>
        <v>9.6876864002522385E-3</v>
      </c>
      <c r="E4" s="63">
        <f>Tabela1619[[#This Row],[Nakłady łącznie MŚP (w mln zł)]]*Tabela1619[[#This Row],[Odsetek zapotrzebowania na finansowanie kapitałowe - faza wzrostu]]</f>
        <v>2249.9909407408941</v>
      </c>
      <c r="F4" s="63">
        <f>Tabela1619[[#This Row],[Nakłady łącznie MŚP (w mln zł)]]*Tabela1619[[#This Row],[Odsetek zapotrzebowania na finansowanie kapitałowe - faza wczesna]]</f>
        <v>1848.20684418002</v>
      </c>
      <c r="G4" s="228">
        <v>0.28999999999999998</v>
      </c>
      <c r="H4" s="229">
        <f>Tabela1619[[#This Row],[Watość zapotrzebowania - faza wzrostu]]*Tabela1619[[#This Row],[Odsetek uzyskujących finansowanie]]</f>
        <v>652.4973728148592</v>
      </c>
      <c r="I4" s="230">
        <f>Tabela1619[[#This Row],[Watość zapotrzebowania - faza wzrostu2]]*Tabela1619[[#This Row],[Odsetek uzyskujących finansowanie]]</f>
        <v>535.97998481220577</v>
      </c>
      <c r="J4" s="230">
        <f>Tabela1619[[#This Row],[Watość zapotrzebowania - faza wzrostu]]-Tabela1619[[#This Row],[Uzyskane finansowanie - faza wzrostu]]</f>
        <v>1597.4935679260348</v>
      </c>
      <c r="K4" s="231">
        <f>Tabela1619[[#This Row],[Watość zapotrzebowania - faza wzrostu2]]-Tabela1619[[#This Row],[Uzyskane finansowanie - faza wczesna]]</f>
        <v>1312.2268593678141</v>
      </c>
      <c r="L4" s="260">
        <f>SUM(Tabela1619[[#This Row],[Luka kapitałowa - faza wzrostu]:[Luka kapitałowa - faza wczesna]])</f>
        <v>2909.7204272938488</v>
      </c>
      <c r="M4" s="300">
        <f>Tabela1619[[#This Row],[Luka kapitałowa - razem]]*Tabela17[[#Totals],[Luka kapitałowa łącznie 2020]]</f>
        <v>296.45044269143614</v>
      </c>
      <c r="N4" s="307">
        <v>2</v>
      </c>
      <c r="O4" s="307"/>
    </row>
    <row r="5" spans="1:15" x14ac:dyDescent="0.3">
      <c r="A5" s="126">
        <v>2022</v>
      </c>
      <c r="B5" s="63">
        <f>'5.1.1 Nakłady lata'!U4</f>
        <v>197658.61641538073</v>
      </c>
      <c r="C5" s="258">
        <f t="shared" ref="C5:C12" si="0">C4</f>
        <v>1.1793705182915769E-2</v>
      </c>
      <c r="D5" s="258">
        <f t="shared" ref="D5:D12" si="1">D4</f>
        <v>9.6876864002522385E-3</v>
      </c>
      <c r="E5" s="63">
        <f>Tabela1619[[#This Row],[Nakłady łącznie MŚP (w mln zł)]]*Tabela1619[[#This Row],[Odsetek zapotrzebowania na finansowanie kapitałowe - faza wzrostu]]</f>
        <v>2331.1274488660356</v>
      </c>
      <c r="F5" s="63">
        <f>Tabela1619[[#This Row],[Nakłady łącznie MŚP (w mln zł)]]*Tabela1619[[#This Row],[Odsetek zapotrzebowania na finansowanie kapitałowe - faza wczesna]]</f>
        <v>1914.8546901399577</v>
      </c>
      <c r="G5" s="228">
        <v>0.28999999999999998</v>
      </c>
      <c r="H5" s="229">
        <f>Tabela1619[[#This Row],[Watość zapotrzebowania - faza wzrostu]]*Tabela1619[[#This Row],[Odsetek uzyskujących finansowanie]]</f>
        <v>676.02696017115022</v>
      </c>
      <c r="I5" s="230">
        <f>Tabela1619[[#This Row],[Watość zapotrzebowania - faza wzrostu2]]*Tabela1619[[#This Row],[Odsetek uzyskujących finansowanie]]</f>
        <v>555.30786014058765</v>
      </c>
      <c r="J5" s="230">
        <f>Tabela1619[[#This Row],[Watość zapotrzebowania - faza wzrostu]]-Tabela1619[[#This Row],[Uzyskane finansowanie - faza wzrostu]]</f>
        <v>1655.1004886948854</v>
      </c>
      <c r="K5" s="231">
        <f>Tabela1619[[#This Row],[Watość zapotrzebowania - faza wzrostu2]]-Tabela1619[[#This Row],[Uzyskane finansowanie - faza wczesna]]</f>
        <v>1359.5468299993699</v>
      </c>
      <c r="L5" s="260">
        <f>SUM(Tabela1619[[#This Row],[Luka kapitałowa - faza wzrostu]:[Luka kapitałowa - faza wczesna]])</f>
        <v>3014.6473186942553</v>
      </c>
      <c r="M5" s="300">
        <f>Tabela1619[[#This Row],[Luka kapitałowa - razem]]*Tabela17[[#Totals],[Luka kapitałowa łącznie 2020]]</f>
        <v>307.14068740158382</v>
      </c>
      <c r="N5" s="307">
        <v>3</v>
      </c>
      <c r="O5" s="307"/>
    </row>
    <row r="6" spans="1:15" x14ac:dyDescent="0.3">
      <c r="A6" s="126">
        <v>2023</v>
      </c>
      <c r="B6" s="63">
        <f>'5.1.1 Nakłady lata'!U5</f>
        <v>204786.13261896212</v>
      </c>
      <c r="C6" s="258">
        <f t="shared" si="0"/>
        <v>1.1793705182915769E-2</v>
      </c>
      <c r="D6" s="258">
        <f t="shared" si="1"/>
        <v>9.6876864002522385E-3</v>
      </c>
      <c r="E6" s="63">
        <f>Tabela1619[[#This Row],[Nakłady łącznie MŚP (w mln zł)]]*Tabela1619[[#This Row],[Odsetek zapotrzebowania na finansowanie kapitałowe - faza wzrostu]]</f>
        <v>2415.1872736575297</v>
      </c>
      <c r="F6" s="63">
        <f>Tabela1619[[#This Row],[Nakłady łącznie MŚP (w mln zł)]]*Tabela1619[[#This Row],[Odsetek zapotrzebowania na finansowanie kapitałowe - faza wczesna]]</f>
        <v>1983.9038319329707</v>
      </c>
      <c r="G6" s="228">
        <v>0.28999999999999998</v>
      </c>
      <c r="H6" s="229">
        <f>Tabela1619[[#This Row],[Watość zapotrzebowania - faza wzrostu]]*Tabela1619[[#This Row],[Odsetek uzyskujących finansowanie]]</f>
        <v>700.40430936068356</v>
      </c>
      <c r="I6" s="230">
        <f>Tabela1619[[#This Row],[Watość zapotrzebowania - faza wzrostu2]]*Tabela1619[[#This Row],[Odsetek uzyskujących finansowanie]]</f>
        <v>575.33211126056142</v>
      </c>
      <c r="J6" s="230">
        <f>Tabela1619[[#This Row],[Watość zapotrzebowania - faza wzrostu]]-Tabela1619[[#This Row],[Uzyskane finansowanie - faza wzrostu]]</f>
        <v>1714.7829642968461</v>
      </c>
      <c r="K6" s="231">
        <f>Tabela1619[[#This Row],[Watość zapotrzebowania - faza wzrostu2]]-Tabela1619[[#This Row],[Uzyskane finansowanie - faza wczesna]]</f>
        <v>1408.5717206724094</v>
      </c>
      <c r="L6" s="260">
        <f>SUM(Tabela1619[[#This Row],[Luka kapitałowa - faza wzrostu]:[Luka kapitałowa - faza wczesna]])</f>
        <v>3123.3546849692557</v>
      </c>
      <c r="M6" s="300">
        <f>Tabela1619[[#This Row],[Luka kapitałowa - razem]]*Tabela17[[#Totals],[Luka kapitałowa łącznie 2020]]</f>
        <v>318.21609744914491</v>
      </c>
      <c r="N6" s="307">
        <v>4</v>
      </c>
      <c r="O6" s="307"/>
    </row>
    <row r="7" spans="1:15" x14ac:dyDescent="0.3">
      <c r="A7" s="126">
        <v>2024</v>
      </c>
      <c r="B7" s="63">
        <f>'5.1.1 Nakłady lata'!U6</f>
        <v>212170.44315168541</v>
      </c>
      <c r="C7" s="258">
        <f t="shared" si="0"/>
        <v>1.1793705182915769E-2</v>
      </c>
      <c r="D7" s="258">
        <f t="shared" si="1"/>
        <v>9.6876864002522385E-3</v>
      </c>
      <c r="E7" s="63">
        <f>Tabela1619[[#This Row],[Nakłady łącznie MŚP (w mln zł)]]*Tabela1619[[#This Row],[Odsetek zapotrzebowania na finansowanie kapitałowe - faza wzrostu]]</f>
        <v>2502.2756550595677</v>
      </c>
      <c r="F7" s="63">
        <f>Tabela1619[[#This Row],[Nakłady łącznie MŚP (w mln zł)]]*Tabela1619[[#This Row],[Odsetek zapotrzebowania na finansowanie kapitałowe - faza wczesna]]</f>
        <v>2055.4407166560736</v>
      </c>
      <c r="G7" s="228">
        <v>0.28999999999999998</v>
      </c>
      <c r="H7" s="229">
        <f>Tabela1619[[#This Row],[Watość zapotrzebowania - faza wzrostu]]*Tabela1619[[#This Row],[Odsetek uzyskujących finansowanie]]</f>
        <v>725.65993996727457</v>
      </c>
      <c r="I7" s="230">
        <f>Tabela1619[[#This Row],[Watość zapotrzebowania - faza wzrostu2]]*Tabela1619[[#This Row],[Odsetek uzyskujących finansowanie]]</f>
        <v>596.07780783026135</v>
      </c>
      <c r="J7" s="230">
        <f>Tabela1619[[#This Row],[Watość zapotrzebowania - faza wzrostu]]-Tabela1619[[#This Row],[Uzyskane finansowanie - faza wzrostu]]</f>
        <v>1776.6157150922932</v>
      </c>
      <c r="K7" s="231">
        <f>Tabela1619[[#This Row],[Watość zapotrzebowania - faza wzrostu2]]-Tabela1619[[#This Row],[Uzyskane finansowanie - faza wczesna]]</f>
        <v>1459.3629088258122</v>
      </c>
      <c r="L7" s="260">
        <f>SUM(Tabela1619[[#This Row],[Luka kapitałowa - faza wzrostu]:[Luka kapitałowa - faza wczesna]])</f>
        <v>3235.9786239181053</v>
      </c>
      <c r="M7" s="300">
        <f>Tabela1619[[#This Row],[Luka kapitałowa - razem]]*Tabela17[[#Totals],[Luka kapitałowa łącznie 2020]]</f>
        <v>329.69053885796825</v>
      </c>
      <c r="N7" s="307">
        <v>5</v>
      </c>
      <c r="O7" s="307"/>
    </row>
    <row r="8" spans="1:15" x14ac:dyDescent="0.3">
      <c r="A8" s="126">
        <v>2025</v>
      </c>
      <c r="B8" s="63">
        <f>'5.1.1 Nakłady lata'!U7</f>
        <v>219820.79240924102</v>
      </c>
      <c r="C8" s="258">
        <f t="shared" si="0"/>
        <v>1.1793705182915769E-2</v>
      </c>
      <c r="D8" s="258">
        <f t="shared" si="1"/>
        <v>9.6876864002522385E-3</v>
      </c>
      <c r="E8" s="63">
        <f>Tabela1619[[#This Row],[Nakłady łącznie MŚP (w mln zł)]]*Tabela1619[[#This Row],[Odsetek zapotrzebowania na finansowanie kapitałowe - faza wzrostu]]</f>
        <v>2592.5016187495171</v>
      </c>
      <c r="F8" s="63">
        <f>Tabela1619[[#This Row],[Nakłady łącznie MŚP (w mln zł)]]*Tabela1619[[#This Row],[Odsetek zapotrzebowania na finansowanie kapitałowe - faza wczesna]]</f>
        <v>2129.554901115675</v>
      </c>
      <c r="G8" s="228">
        <v>0.28999999999999998</v>
      </c>
      <c r="H8" s="229">
        <f>Tabela1619[[#This Row],[Watość zapotrzebowania - faza wzrostu]]*Tabela1619[[#This Row],[Odsetek uzyskujących finansowanie]]</f>
        <v>751.82546943735986</v>
      </c>
      <c r="I8" s="230">
        <f>Tabela1619[[#This Row],[Watość zapotrzebowania - faza wzrostu2]]*Tabela1619[[#This Row],[Odsetek uzyskujących finansowanie]]</f>
        <v>617.57092132354569</v>
      </c>
      <c r="J8" s="230">
        <f>Tabela1619[[#This Row],[Watość zapotrzebowania - faza wzrostu]]-Tabela1619[[#This Row],[Uzyskane finansowanie - faza wzrostu]]</f>
        <v>1840.6761493121571</v>
      </c>
      <c r="K8" s="231">
        <f>Tabela1619[[#This Row],[Watość zapotrzebowania - faza wzrostu2]]-Tabela1619[[#This Row],[Uzyskane finansowanie - faza wczesna]]</f>
        <v>1511.9839797921293</v>
      </c>
      <c r="L8" s="260">
        <f>SUM(Tabela1619[[#This Row],[Luka kapitałowa - faza wzrostu]:[Luka kapitałowa - faza wczesna]])</f>
        <v>3352.6601291042862</v>
      </c>
      <c r="M8" s="300">
        <f>Tabela1619[[#This Row],[Luka kapitałowa - razem]]*Tabela17[[#Totals],[Luka kapitałowa łącznie 2020]]</f>
        <v>341.57837644603393</v>
      </c>
      <c r="N8" s="307">
        <v>6</v>
      </c>
      <c r="O8" s="307"/>
    </row>
    <row r="9" spans="1:15" x14ac:dyDescent="0.3">
      <c r="A9" s="126">
        <v>2026</v>
      </c>
      <c r="B9" s="63">
        <f>'5.1.1 Nakłady lata'!U8</f>
        <v>227746.75732196475</v>
      </c>
      <c r="C9" s="258">
        <f t="shared" si="0"/>
        <v>1.1793705182915769E-2</v>
      </c>
      <c r="D9" s="258">
        <f t="shared" si="1"/>
        <v>9.6876864002522385E-3</v>
      </c>
      <c r="E9" s="63">
        <f>Tabela1619[[#This Row],[Nakłady łącznie MŚP (w mln zł)]]*Tabela1619[[#This Row],[Odsetek zapotrzebowania na finansowanie kapitałowe - faza wzrostu]]</f>
        <v>2685.9781122203153</v>
      </c>
      <c r="F9" s="63">
        <f>Tabela1619[[#This Row],[Nakłady łącznie MŚP (w mln zł)]]*Tabela1619[[#This Row],[Odsetek zapotrzebowania na finansowanie kapitałowe - faza wczesna]]</f>
        <v>2206.3391636095448</v>
      </c>
      <c r="G9" s="228">
        <v>0.28999999999999998</v>
      </c>
      <c r="H9" s="229">
        <f>Tabela1619[[#This Row],[Watość zapotrzebowania - faza wzrostu]]*Tabela1619[[#This Row],[Odsetek uzyskujących finansowanie]]</f>
        <v>778.93365254389141</v>
      </c>
      <c r="I9" s="230">
        <f>Tabela1619[[#This Row],[Watość zapotrzebowania - faza wzrostu2]]*Tabela1619[[#This Row],[Odsetek uzyskujących finansowanie]]</f>
        <v>639.83835744676799</v>
      </c>
      <c r="J9" s="230">
        <f>Tabela1619[[#This Row],[Watość zapotrzebowania - faza wzrostu]]-Tabela1619[[#This Row],[Uzyskane finansowanie - faza wzrostu]]</f>
        <v>1907.0444596764239</v>
      </c>
      <c r="K9" s="231">
        <f>Tabela1619[[#This Row],[Watość zapotrzebowania - faza wzrostu2]]-Tabela1619[[#This Row],[Uzyskane finansowanie - faza wczesna]]</f>
        <v>1566.5008061627768</v>
      </c>
      <c r="L9" s="260">
        <f>SUM(Tabela1619[[#This Row],[Luka kapitałowa - faza wzrostu]:[Luka kapitałowa - faza wczesna]])</f>
        <v>3473.5452658392005</v>
      </c>
      <c r="M9" s="300">
        <f>Tabela1619[[#This Row],[Luka kapitałowa - razem]]*Tabela17[[#Totals],[Luka kapitałowa łącznie 2020]]</f>
        <v>353.8944917551633</v>
      </c>
      <c r="N9" s="307">
        <v>7</v>
      </c>
      <c r="O9" s="307"/>
    </row>
    <row r="10" spans="1:15" x14ac:dyDescent="0.3">
      <c r="A10" s="126">
        <v>2027</v>
      </c>
      <c r="B10" s="63">
        <f>'5.1.1 Nakłady lata'!U9</f>
        <v>235958.2593078778</v>
      </c>
      <c r="C10" s="258">
        <f t="shared" si="0"/>
        <v>1.1793705182915769E-2</v>
      </c>
      <c r="D10" s="258">
        <f t="shared" si="1"/>
        <v>9.6876864002522385E-3</v>
      </c>
      <c r="E10" s="63">
        <f>Tabela1619[[#This Row],[Nakłady łącznie MŚP (w mln zł)]]*Tabela1619[[#This Row],[Odsetek zapotrzebowania na finansowanie kapitałowe - faza wzrostu]]</f>
        <v>2782.8221457511013</v>
      </c>
      <c r="F10" s="63">
        <f>Tabela1619[[#This Row],[Nakłady łącznie MŚP (w mln zł)]]*Tabela1619[[#This Row],[Odsetek zapotrzebowania na finansowanie kapitałowe - faza wczesna]]</f>
        <v>2285.8896197241188</v>
      </c>
      <c r="G10" s="228">
        <v>0.28999999999999998</v>
      </c>
      <c r="H10" s="229">
        <f>Tabela1619[[#This Row],[Watość zapotrzebowania - faza wzrostu]]*Tabela1619[[#This Row],[Odsetek uzyskujących finansowanie]]</f>
        <v>807.01842226781935</v>
      </c>
      <c r="I10" s="230">
        <f>Tabela1619[[#This Row],[Watość zapotrzebowania - faza wzrostu2]]*Tabela1619[[#This Row],[Odsetek uzyskujących finansowanie]]</f>
        <v>662.90798971999436</v>
      </c>
      <c r="J10" s="230">
        <f>Tabela1619[[#This Row],[Watość zapotrzebowania - faza wzrostu]]-Tabela1619[[#This Row],[Uzyskane finansowanie - faza wzrostu]]</f>
        <v>1975.8037234832818</v>
      </c>
      <c r="K10" s="231">
        <f>Tabela1619[[#This Row],[Watość zapotrzebowania - faza wzrostu2]]-Tabela1619[[#This Row],[Uzyskane finansowanie - faza wczesna]]</f>
        <v>1622.9816300041243</v>
      </c>
      <c r="L10" s="260">
        <f>SUM(Tabela1619[[#This Row],[Luka kapitałowa - faza wzrostu]:[Luka kapitałowa - faza wczesna]])</f>
        <v>3598.7853534874062</v>
      </c>
      <c r="M10" s="300">
        <f>Tabela1619[[#This Row],[Luka kapitałowa - razem]]*Tabela17[[#Totals],[Luka kapitałowa łącznie 2020]]</f>
        <v>366.65430162478532</v>
      </c>
      <c r="N10" s="307">
        <v>8</v>
      </c>
      <c r="O10" s="307"/>
    </row>
    <row r="11" spans="1:15" x14ac:dyDescent="0.3">
      <c r="A11" s="126">
        <v>2028</v>
      </c>
      <c r="B11" s="63">
        <f>'5.1.1 Nakłady lata'!U10</f>
        <v>244465.57665508537</v>
      </c>
      <c r="C11" s="258">
        <f t="shared" si="0"/>
        <v>1.1793705182915769E-2</v>
      </c>
      <c r="D11" s="258">
        <f t="shared" si="1"/>
        <v>9.6876864002522385E-3</v>
      </c>
      <c r="E11" s="63">
        <f>Tabela1619[[#This Row],[Nakłady łącznie MŚP (w mln zł)]]*Tabela1619[[#This Row],[Odsetek zapotrzebowania na finansowanie kapitałowe - faza wzrostu]]</f>
        <v>2883.1549384415725</v>
      </c>
      <c r="F11" s="63">
        <f>Tabela1619[[#This Row],[Nakłady łącznie MŚP (w mln zł)]]*Tabela1619[[#This Row],[Odsetek zapotrzebowania na finansowanie kapitałowe - faza wczesna]]</f>
        <v>2368.3058422912918</v>
      </c>
      <c r="G11" s="228">
        <v>0.28999999999999998</v>
      </c>
      <c r="H11" s="229">
        <f>Tabela1619[[#This Row],[Watość zapotrzebowania - faza wzrostu]]*Tabela1619[[#This Row],[Odsetek uzyskujących finansowanie]]</f>
        <v>836.11493214805603</v>
      </c>
      <c r="I11" s="230">
        <f>Tabela1619[[#This Row],[Watość zapotrzebowania - faza wzrostu2]]*Tabela1619[[#This Row],[Odsetek uzyskujących finansowanie]]</f>
        <v>686.80869426447452</v>
      </c>
      <c r="J11" s="230">
        <f>Tabela1619[[#This Row],[Watość zapotrzebowania - faza wzrostu]]-Tabela1619[[#This Row],[Uzyskane finansowanie - faza wzrostu]]</f>
        <v>2047.0400062935164</v>
      </c>
      <c r="K11" s="231">
        <f>Tabela1619[[#This Row],[Watość zapotrzebowania - faza wzrostu2]]-Tabela1619[[#This Row],[Uzyskane finansowanie - faza wczesna]]</f>
        <v>1681.4971480268173</v>
      </c>
      <c r="L11" s="260">
        <f>SUM(Tabela1619[[#This Row],[Luka kapitałowa - faza wzrostu]:[Luka kapitałowa - faza wczesna]])</f>
        <v>3728.5371543203337</v>
      </c>
      <c r="M11" s="300">
        <f>Tabela1619[[#This Row],[Luka kapitałowa - razem]]*Tabela17[[#Totals],[Luka kapitałowa łącznie 2020]]</f>
        <v>379.87377743288084</v>
      </c>
      <c r="N11" s="307">
        <v>9</v>
      </c>
      <c r="O11" s="307"/>
    </row>
    <row r="12" spans="1:15" x14ac:dyDescent="0.3">
      <c r="A12" s="126">
        <v>2029</v>
      </c>
      <c r="B12" s="63">
        <f>'5.1.1 Nakłady lata'!U11</f>
        <v>253279.35734894534</v>
      </c>
      <c r="C12" s="258">
        <f t="shared" si="0"/>
        <v>1.1793705182915769E-2</v>
      </c>
      <c r="D12" s="258">
        <f t="shared" si="1"/>
        <v>9.6876864002522385E-3</v>
      </c>
      <c r="E12" s="63">
        <f>Tabela1619[[#This Row],[Nakłady łącznie MŚP (w mln zł)]]*Tabela1619[[#This Row],[Odsetek zapotrzebowania na finansowanie kapitałowe - faza wzrostu]]</f>
        <v>2987.102069491832</v>
      </c>
      <c r="F12" s="63">
        <f>Tabela1619[[#This Row],[Nakłady łącznie MŚP (w mln zł)]]*Tabela1619[[#This Row],[Odsetek zapotrzebowania na finansowanie kapitałowe - faza wczesna]]</f>
        <v>2453.6909856540046</v>
      </c>
      <c r="G12" s="228">
        <v>0.28999999999999998</v>
      </c>
      <c r="H12" s="229">
        <f>Tabela1619[[#This Row],[Watość zapotrzebowania - faza wzrostu]]*Tabela1619[[#This Row],[Odsetek uzyskujących finansowanie]]</f>
        <v>866.25960015263126</v>
      </c>
      <c r="I12" s="230">
        <f>Tabela1619[[#This Row],[Watość zapotrzebowania - faza wzrostu2]]*Tabela1619[[#This Row],[Odsetek uzyskujących finansowanie]]</f>
        <v>711.5703858396613</v>
      </c>
      <c r="J12" s="230">
        <f>Tabela1619[[#This Row],[Watość zapotrzebowania - faza wzrostu]]-Tabela1619[[#This Row],[Uzyskane finansowanie - faza wzrostu]]</f>
        <v>2120.8424693392008</v>
      </c>
      <c r="K12" s="231">
        <f>Tabela1619[[#This Row],[Watość zapotrzebowania - faza wzrostu2]]-Tabela1619[[#This Row],[Uzyskane finansowanie - faza wczesna]]</f>
        <v>1742.1205998143432</v>
      </c>
      <c r="L12" s="260">
        <f>SUM(Tabela1619[[#This Row],[Luka kapitałowa - faza wzrostu]:[Luka kapitałowa - faza wczesna]])</f>
        <v>3862.963069153544</v>
      </c>
      <c r="M12" s="300">
        <f>Tabela1619[[#This Row],[Luka kapitałowa - razem]]*Tabela17[[#Totals],[Luka kapitałowa łącznie 2020]]</f>
        <v>393.56946502805266</v>
      </c>
      <c r="N12" s="307">
        <v>10</v>
      </c>
      <c r="O12" s="307"/>
    </row>
    <row r="13" spans="1:15" s="46" customFormat="1" x14ac:dyDescent="0.3">
      <c r="A13" s="129" t="s">
        <v>63</v>
      </c>
      <c r="B13" s="206">
        <f>SUM(B3:B12)</f>
        <v>2171160.0018871995</v>
      </c>
      <c r="C13" s="206">
        <f t="shared" ref="C13" si="2">SUBTOTAL(109,C12)</f>
        <v>1.1793705182915769E-2</v>
      </c>
      <c r="D13" s="206"/>
      <c r="E13" s="206">
        <f>SUBTOTAL(109,E2:E12)</f>
        <v>25606.02096719648</v>
      </c>
      <c r="F13" s="206">
        <f>SUBTOTAL(109,F2:F12)</f>
        <v>21033.517223054248</v>
      </c>
      <c r="G13" s="206"/>
      <c r="H13" s="206">
        <f>SUBTOTAL(109,H2:H12)</f>
        <v>7426.0231368017376</v>
      </c>
      <c r="I13" s="235">
        <f>SUBTOTAL(109,I2:I12)</f>
        <v>6099.9475766585711</v>
      </c>
      <c r="J13" s="235">
        <f>SUBTOTAL(109,J2:J12)</f>
        <v>18179.997830394743</v>
      </c>
      <c r="K13" s="236">
        <f>SUBTOTAL(109,K2:K12)</f>
        <v>14933.569646395676</v>
      </c>
      <c r="L13" s="260">
        <f>SUM(Tabela1619[[#This Row],[Luka kapitałowa - faza wzrostu]:[Luka kapitałowa - faza wczesna]])</f>
        <v>33113.56747679042</v>
      </c>
      <c r="M13" s="300">
        <f>Tabela1619[[#This Row],[Luka kapitałowa - razem]]*Tabela17[[#Totals],[Luka kapitałowa łącznie 2020]]</f>
        <v>3373.7027260440314</v>
      </c>
      <c r="N13" s="309">
        <f>_xlfn.FORECAST.LINEAR(11,M3:M12,N3:N12)</f>
        <v>402.7992290661324</v>
      </c>
      <c r="O13" s="307" t="s">
        <v>423</v>
      </c>
    </row>
    <row r="15" spans="1:15" x14ac:dyDescent="0.3">
      <c r="A15" s="32" t="s">
        <v>385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0"/>
    </row>
    <row r="17" spans="1:12" x14ac:dyDescent="0.3">
      <c r="A17" s="32" t="s">
        <v>383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0"/>
    </row>
  </sheetData>
  <phoneticPr fontId="21" type="noConversion"/>
  <pageMargins left="0.7" right="0.7" top="0.75" bottom="0.75" header="0.3" footer="0.3"/>
  <pageSetup paperSize="9" orientation="portrait" horizontalDpi="4294967294" verticalDpi="4294967294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M37"/>
  <sheetViews>
    <sheetView topLeftCell="A3" workbookViewId="0">
      <selection activeCell="A26" sqref="A26"/>
    </sheetView>
  </sheetViews>
  <sheetFormatPr defaultColWidth="9.109375" defaultRowHeight="14.4" x14ac:dyDescent="0.3"/>
  <cols>
    <col min="1" max="1" width="29" style="14" customWidth="1"/>
    <col min="2" max="2" width="15.44140625" style="14" customWidth="1"/>
    <col min="3" max="5" width="11.33203125" style="14" customWidth="1"/>
    <col min="6" max="6" width="10.88671875" style="14" customWidth="1"/>
    <col min="7" max="8" width="10.109375" style="14" customWidth="1"/>
    <col min="9" max="9" width="11.6640625" style="14" customWidth="1"/>
    <col min="10" max="10" width="10.5546875" style="14" customWidth="1"/>
    <col min="11" max="16384" width="9.109375" style="14"/>
  </cols>
  <sheetData>
    <row r="1" spans="1:13" ht="15" thickBot="1" x14ac:dyDescent="0.35">
      <c r="A1" s="223" t="s">
        <v>92</v>
      </c>
      <c r="B1" s="224" t="s">
        <v>170</v>
      </c>
      <c r="C1" s="224" t="s">
        <v>171</v>
      </c>
      <c r="D1" s="224" t="s">
        <v>172</v>
      </c>
      <c r="E1" s="224" t="s">
        <v>173</v>
      </c>
      <c r="F1" s="224" t="s">
        <v>174</v>
      </c>
      <c r="G1" s="224" t="s">
        <v>175</v>
      </c>
      <c r="H1" s="224" t="s">
        <v>176</v>
      </c>
      <c r="I1" s="224" t="s">
        <v>177</v>
      </c>
      <c r="J1" s="224" t="s">
        <v>178</v>
      </c>
      <c r="K1" s="224" t="s">
        <v>179</v>
      </c>
      <c r="L1" s="224" t="s">
        <v>180</v>
      </c>
      <c r="M1" s="224" t="s">
        <v>181</v>
      </c>
    </row>
    <row r="2" spans="1:13" ht="15" thickTop="1" x14ac:dyDescent="0.3">
      <c r="A2" s="115"/>
      <c r="B2" s="125">
        <v>4.0000000000000001E-3</v>
      </c>
      <c r="C2" s="125">
        <v>4.0000000000000001E-3</v>
      </c>
      <c r="D2" s="302">
        <f>Tabela3[[#This Row],[2020]]+0.025%</f>
        <v>4.2500000000000003E-3</v>
      </c>
      <c r="E2" s="302">
        <f>Tabela3[[#This Row],[2021]]+0.025%</f>
        <v>4.5000000000000005E-3</v>
      </c>
      <c r="F2" s="302">
        <f>Tabela3[[#This Row],[2022]]+0.025%</f>
        <v>4.7500000000000007E-3</v>
      </c>
      <c r="G2" s="302">
        <f>Tabela3[[#This Row],[2023]]+0.025%</f>
        <v>5.000000000000001E-3</v>
      </c>
      <c r="H2" s="302">
        <f>Tabela3[[#This Row],[2024]]+0.025%</f>
        <v>5.2500000000000012E-3</v>
      </c>
      <c r="I2" s="302">
        <f>Tabela3[[#This Row],[2025]]+0.025%</f>
        <v>5.5000000000000014E-3</v>
      </c>
      <c r="J2" s="302">
        <f>Tabela3[[#This Row],[2026]]+0.025%</f>
        <v>5.7500000000000016E-3</v>
      </c>
      <c r="K2" s="302">
        <f>Tabela3[[#This Row],[2027]]+0.025%</f>
        <v>6.0000000000000019E-3</v>
      </c>
      <c r="L2" s="302">
        <f>Tabela3[[#This Row],[2028]]+0.025%</f>
        <v>6.2500000000000021E-3</v>
      </c>
      <c r="M2" s="302">
        <f>Tabela3[[#This Row],[2029]]+0.025%</f>
        <v>6.5000000000000023E-3</v>
      </c>
    </row>
    <row r="3" spans="1:13" x14ac:dyDescent="0.3">
      <c r="A3" s="115"/>
      <c r="B3" s="117" t="s">
        <v>83</v>
      </c>
      <c r="C3" s="117" t="s">
        <v>83</v>
      </c>
      <c r="D3" s="117" t="s">
        <v>83</v>
      </c>
      <c r="E3" s="117" t="s">
        <v>83</v>
      </c>
      <c r="F3" s="117" t="s">
        <v>83</v>
      </c>
      <c r="G3" s="117" t="s">
        <v>83</v>
      </c>
      <c r="H3" s="117" t="s">
        <v>83</v>
      </c>
      <c r="I3" s="117" t="s">
        <v>83</v>
      </c>
      <c r="J3" s="117" t="s">
        <v>83</v>
      </c>
      <c r="K3" s="117" t="s">
        <v>83</v>
      </c>
      <c r="L3" s="117" t="s">
        <v>83</v>
      </c>
      <c r="M3" s="118" t="s">
        <v>83</v>
      </c>
    </row>
    <row r="4" spans="1:13" x14ac:dyDescent="0.3">
      <c r="A4" s="119" t="s">
        <v>1</v>
      </c>
      <c r="B4" s="120">
        <f>B$2*'5.1.1 PKB'!C4</f>
        <v>9150.9519999999993</v>
      </c>
      <c r="C4" s="120">
        <f>C$2*'5.1.1 PKB'!D4</f>
        <v>8894.7253440000004</v>
      </c>
      <c r="D4" s="120">
        <f>D$2*'5.1.1 PKB'!E4</f>
        <v>9762.5169853740008</v>
      </c>
      <c r="E4" s="120">
        <f>E$2*'5.1.1 PKB'!F4</f>
        <v>10698.57008455986</v>
      </c>
      <c r="F4" s="120">
        <f>F$2*'5.1.1 PKB'!G4</f>
        <v>11688.187817381648</v>
      </c>
      <c r="G4" s="120">
        <f>G$2*'5.1.1 PKB'!H4</f>
        <v>12733.973043147373</v>
      </c>
      <c r="H4" s="120">
        <f>H$2*'5.1.1 PKB'!I4</f>
        <v>13838.645204640407</v>
      </c>
      <c r="I4" s="120">
        <f>I$2*'5.1.1 PKB'!J4</f>
        <v>15005.045300460097</v>
      </c>
      <c r="J4" s="120">
        <f>J$2*'5.1.1 PKB'!K4</f>
        <v>16236.141062611483</v>
      </c>
      <c r="K4" s="120">
        <f>K$2*'5.1.1 PKB'!L4</f>
        <v>17535.032347620399</v>
      </c>
      <c r="L4" s="120">
        <f>L$2*'5.1.1 PKB'!M4</f>
        <v>18904.956749778241</v>
      </c>
      <c r="M4" s="121">
        <f>M$2*'5.1.1 PKB'!N4</f>
        <v>20349.295445461299</v>
      </c>
    </row>
    <row r="5" spans="1:13" x14ac:dyDescent="0.3">
      <c r="A5" s="119" t="s">
        <v>2</v>
      </c>
      <c r="B5" s="120">
        <f>B$2*'5.1.1 PKB'!C5</f>
        <v>756.78</v>
      </c>
      <c r="C5" s="120">
        <f>C$2*'5.1.1 PKB'!D5</f>
        <v>735.59016000000008</v>
      </c>
      <c r="D5" s="120">
        <f>D$2*'5.1.1 PKB'!E5</f>
        <v>807.35617498499994</v>
      </c>
      <c r="E5" s="120">
        <f>E$2*'5.1.1 PKB'!F5</f>
        <v>884.76738470414989</v>
      </c>
      <c r="F5" s="120">
        <f>F$2*'5.1.1 PKB'!G5</f>
        <v>966.60836778928376</v>
      </c>
      <c r="G5" s="120">
        <f>G$2*'5.1.1 PKB'!H5</f>
        <v>1053.0943796441145</v>
      </c>
      <c r="H5" s="120">
        <f>H$2*'5.1.1 PKB'!I5</f>
        <v>1144.4503170782414</v>
      </c>
      <c r="I5" s="120">
        <f>I$2*'5.1.1 PKB'!J5</f>
        <v>1240.9111295176931</v>
      </c>
      <c r="J5" s="120">
        <f>J$2*'5.1.1 PKB'!K5</f>
        <v>1342.7222471894854</v>
      </c>
      <c r="K5" s="120">
        <f>K$2*'5.1.1 PKB'!L5</f>
        <v>1450.1400269646442</v>
      </c>
      <c r="L5" s="120">
        <f>L$2*'5.1.1 PKB'!M5</f>
        <v>1563.432216571257</v>
      </c>
      <c r="M5" s="121">
        <f>M$2*'5.1.1 PKB'!N5</f>
        <v>1682.878437917301</v>
      </c>
    </row>
    <row r="6" spans="1:13" x14ac:dyDescent="0.3">
      <c r="A6" s="119" t="s">
        <v>3</v>
      </c>
      <c r="B6" s="120">
        <f>B$2*'5.1.1 PKB'!C6</f>
        <v>393.80400000000003</v>
      </c>
      <c r="C6" s="120">
        <f>C$2*'5.1.1 PKB'!D6</f>
        <v>382.77748800000001</v>
      </c>
      <c r="D6" s="120">
        <f>D$2*'5.1.1 PKB'!E6</f>
        <v>420.12221667300003</v>
      </c>
      <c r="E6" s="120">
        <f>E$2*'5.1.1 PKB'!F6</f>
        <v>460.40452333047</v>
      </c>
      <c r="F6" s="120">
        <f>F$2*'5.1.1 PKB'!G6</f>
        <v>502.99194173853846</v>
      </c>
      <c r="G6" s="120">
        <f>G$2*'5.1.1 PKB'!H6</f>
        <v>547.99648389409185</v>
      </c>
      <c r="H6" s="120">
        <f>H$2*'5.1.1 PKB'!I6</f>
        <v>595.53517887190424</v>
      </c>
      <c r="I6" s="120">
        <f>I$2*'5.1.1 PKB'!J6</f>
        <v>645.73028680539335</v>
      </c>
      <c r="J6" s="120">
        <f>J$2*'5.1.1 PKB'!K6</f>
        <v>698.70952170010844</v>
      </c>
      <c r="K6" s="120">
        <f>K$2*'5.1.1 PKB'!L6</f>
        <v>754.60628343611711</v>
      </c>
      <c r="L6" s="120">
        <f>L$2*'5.1.1 PKB'!M6</f>
        <v>813.55989932956368</v>
      </c>
      <c r="M6" s="121">
        <f>M$2*'5.1.1 PKB'!N6</f>
        <v>875.71587563834237</v>
      </c>
    </row>
    <row r="7" spans="1:13" x14ac:dyDescent="0.3">
      <c r="A7" s="119" t="s">
        <v>4</v>
      </c>
      <c r="B7" s="120">
        <f>B$2*'5.1.1 PKB'!C7</f>
        <v>344.21199999999999</v>
      </c>
      <c r="C7" s="120">
        <f>C$2*'5.1.1 PKB'!D7</f>
        <v>334.57406400000002</v>
      </c>
      <c r="D7" s="120">
        <f>D$2*'5.1.1 PKB'!E7</f>
        <v>367.21594611900002</v>
      </c>
      <c r="E7" s="120">
        <f>E$2*'5.1.1 PKB'!F7</f>
        <v>402.42547507041007</v>
      </c>
      <c r="F7" s="120">
        <f>F$2*'5.1.1 PKB'!G7</f>
        <v>439.649831514423</v>
      </c>
      <c r="G7" s="120">
        <f>G$2*'5.1.1 PKB'!H7</f>
        <v>478.98692170255555</v>
      </c>
      <c r="H7" s="120">
        <f>H$2*'5.1.1 PKB'!I7</f>
        <v>520.53903716025229</v>
      </c>
      <c r="I7" s="120">
        <f>I$2*'5.1.1 PKB'!J7</f>
        <v>564.41304172090202</v>
      </c>
      <c r="J7" s="120">
        <f>J$2*'5.1.1 PKB'!K7</f>
        <v>610.7205662802761</v>
      </c>
      <c r="K7" s="120">
        <f>K$2*'5.1.1 PKB'!L7</f>
        <v>659.57821158269815</v>
      </c>
      <c r="L7" s="120">
        <f>L$2*'5.1.1 PKB'!M7</f>
        <v>711.10775936259643</v>
      </c>
      <c r="M7" s="121">
        <f>M$2*'5.1.1 PKB'!N7</f>
        <v>765.43639217789871</v>
      </c>
    </row>
    <row r="8" spans="1:13" x14ac:dyDescent="0.3">
      <c r="A8" s="119" t="s">
        <v>5</v>
      </c>
      <c r="B8" s="120">
        <f>B$2*'5.1.1 PKB'!C8</f>
        <v>196.28399999999999</v>
      </c>
      <c r="C8" s="120">
        <f>C$2*'5.1.1 PKB'!D8</f>
        <v>190.78804799999997</v>
      </c>
      <c r="D8" s="120">
        <f>D$2*'5.1.1 PKB'!E8</f>
        <v>209.40180693299996</v>
      </c>
      <c r="E8" s="120">
        <f>E$2*'5.1.1 PKB'!F8</f>
        <v>229.47974489186996</v>
      </c>
      <c r="F8" s="120">
        <f>F$2*'5.1.1 PKB'!G8</f>
        <v>250.70662129436792</v>
      </c>
      <c r="G8" s="120">
        <f>G$2*'5.1.1 PKB'!H8</f>
        <v>273.13826635754822</v>
      </c>
      <c r="H8" s="120">
        <f>H$2*'5.1.1 PKB'!I8</f>
        <v>296.83301096406552</v>
      </c>
      <c r="I8" s="120">
        <f>I$2*'5.1.1 PKB'!J8</f>
        <v>321.85179331675101</v>
      </c>
      <c r="J8" s="120">
        <f>J$2*'5.1.1 PKB'!K8</f>
        <v>348.25826999569352</v>
      </c>
      <c r="K8" s="120">
        <f>K$2*'5.1.1 PKB'!L8</f>
        <v>376.11893159534901</v>
      </c>
      <c r="L8" s="120">
        <f>L$2*'5.1.1 PKB'!M8</f>
        <v>405.50322312623564</v>
      </c>
      <c r="M8" s="121">
        <f>M$2*'5.1.1 PKB'!N8</f>
        <v>436.48366937307998</v>
      </c>
    </row>
    <row r="9" spans="1:13" x14ac:dyDescent="0.3">
      <c r="A9" s="119" t="s">
        <v>6</v>
      </c>
      <c r="B9" s="120">
        <f>B$2*'5.1.1 PKB'!C9</f>
        <v>552.34</v>
      </c>
      <c r="C9" s="120">
        <f>C$2*'5.1.1 PKB'!D9</f>
        <v>536.87447999999995</v>
      </c>
      <c r="D9" s="120">
        <f>D$2*'5.1.1 PKB'!E9</f>
        <v>589.25329645499994</v>
      </c>
      <c r="E9" s="120">
        <f>E$2*'5.1.1 PKB'!F9</f>
        <v>645.75228899745002</v>
      </c>
      <c r="F9" s="120">
        <f>F$2*'5.1.1 PKB'!G9</f>
        <v>705.4843757297142</v>
      </c>
      <c r="G9" s="120">
        <f>G$2*'5.1.1 PKB'!H9</f>
        <v>768.60666197921489</v>
      </c>
      <c r="H9" s="120">
        <f>H$2*'5.1.1 PKB'!I9</f>
        <v>835.28328990591172</v>
      </c>
      <c r="I9" s="120">
        <f>I$2*'5.1.1 PKB'!J9</f>
        <v>905.68573862655273</v>
      </c>
      <c r="J9" s="120">
        <f>J$2*'5.1.1 PKB'!K9</f>
        <v>979.99313672750384</v>
      </c>
      <c r="K9" s="120">
        <f>K$2*'5.1.1 PKB'!L9</f>
        <v>1058.392587665704</v>
      </c>
      <c r="L9" s="120">
        <f>L$2*'5.1.1 PKB'!M9</f>
        <v>1141.0795085770872</v>
      </c>
      <c r="M9" s="121">
        <f>M$2*'5.1.1 PKB'!N9</f>
        <v>1228.2579830323766</v>
      </c>
    </row>
    <row r="10" spans="1:13" x14ac:dyDescent="0.3">
      <c r="A10" s="119" t="s">
        <v>7</v>
      </c>
      <c r="B10" s="120">
        <f>B$2*'5.1.1 PKB'!C10</f>
        <v>742.88</v>
      </c>
      <c r="C10" s="120">
        <f>C$2*'5.1.1 PKB'!D10</f>
        <v>722.07935999999995</v>
      </c>
      <c r="D10" s="120">
        <f>D$2*'5.1.1 PKB'!E10</f>
        <v>792.52722756000003</v>
      </c>
      <c r="E10" s="120">
        <f>E$2*'5.1.1 PKB'!F10</f>
        <v>868.51660290840005</v>
      </c>
      <c r="F10" s="120">
        <f>F$2*'5.1.1 PKB'!G10</f>
        <v>948.85438867742698</v>
      </c>
      <c r="G10" s="120">
        <f>G$2*'5.1.1 PKB'!H10</f>
        <v>1033.751886611723</v>
      </c>
      <c r="H10" s="120">
        <f>H$2*'5.1.1 PKB'!I10</f>
        <v>1123.4298627752898</v>
      </c>
      <c r="I10" s="120">
        <f>I$2*'5.1.1 PKB'!J10</f>
        <v>1218.1189512092071</v>
      </c>
      <c r="J10" s="120">
        <f>J$2*'5.1.1 PKB'!K10</f>
        <v>1318.0600742515987</v>
      </c>
      <c r="K10" s="120">
        <f>K$2*'5.1.1 PKB'!L10</f>
        <v>1423.5048801917267</v>
      </c>
      <c r="L10" s="120">
        <f>L$2*'5.1.1 PKB'!M10</f>
        <v>1534.7161989567051</v>
      </c>
      <c r="M10" s="121">
        <f>M$2*'5.1.1 PKB'!N10</f>
        <v>1651.9685165569974</v>
      </c>
    </row>
    <row r="11" spans="1:13" x14ac:dyDescent="0.3">
      <c r="A11" s="119" t="s">
        <v>8</v>
      </c>
      <c r="B11" s="120">
        <f>B$2*'5.1.1 PKB'!C11</f>
        <v>2090.52</v>
      </c>
      <c r="C11" s="120">
        <f>C$2*'5.1.1 PKB'!D11</f>
        <v>2031.9854399999999</v>
      </c>
      <c r="D11" s="120">
        <f>D$2*'5.1.1 PKB'!E11</f>
        <v>2230.2310194899997</v>
      </c>
      <c r="E11" s="120">
        <f>E$2*'5.1.1 PKB'!F11</f>
        <v>2444.0708172410996</v>
      </c>
      <c r="F11" s="120">
        <f>F$2*'5.1.1 PKB'!G11</f>
        <v>2670.1473678359016</v>
      </c>
      <c r="G11" s="120">
        <f>G$2*'5.1.1 PKB'!H11</f>
        <v>2909.0552902212194</v>
      </c>
      <c r="H11" s="120">
        <f>H$2*'5.1.1 PKB'!I11</f>
        <v>3161.4158366479101</v>
      </c>
      <c r="I11" s="120">
        <f>I$2*'5.1.1 PKB'!J11</f>
        <v>3427.8780285939483</v>
      </c>
      <c r="J11" s="120">
        <f>J$2*'5.1.1 PKB'!K11</f>
        <v>3709.1198395763149</v>
      </c>
      <c r="K11" s="120">
        <f>K$2*'5.1.1 PKB'!L11</f>
        <v>4005.8494267424198</v>
      </c>
      <c r="L11" s="120">
        <f>L$2*'5.1.1 PKB'!M11</f>
        <v>4318.8064132066711</v>
      </c>
      <c r="M11" s="121">
        <f>M$2*'5.1.1 PKB'!N11</f>
        <v>4648.7632231756606</v>
      </c>
    </row>
    <row r="12" spans="1:13" x14ac:dyDescent="0.3">
      <c r="A12" s="119" t="s">
        <v>9</v>
      </c>
      <c r="B12" s="120">
        <f>B$2*'5.1.1 PKB'!C12</f>
        <v>185.20000000000002</v>
      </c>
      <c r="C12" s="120">
        <f>C$2*'5.1.1 PKB'!D12</f>
        <v>180.01439999999999</v>
      </c>
      <c r="D12" s="120">
        <f>D$2*'5.1.1 PKB'!E12</f>
        <v>197.57705490000001</v>
      </c>
      <c r="E12" s="120">
        <f>E$2*'5.1.1 PKB'!F12</f>
        <v>216.52120781100001</v>
      </c>
      <c r="F12" s="120">
        <f>F$2*'5.1.1 PKB'!G12</f>
        <v>236.54941953351749</v>
      </c>
      <c r="G12" s="120">
        <f>G$2*'5.1.1 PKB'!H12</f>
        <v>257.71436759704272</v>
      </c>
      <c r="H12" s="120">
        <f>H$2*'5.1.1 PKB'!I12</f>
        <v>280.07108898608612</v>
      </c>
      <c r="I12" s="120">
        <f>I$2*'5.1.1 PKB'!J12</f>
        <v>303.67708077205623</v>
      </c>
      <c r="J12" s="120">
        <f>J$2*'5.1.1 PKB'!K12</f>
        <v>328.5924048990363</v>
      </c>
      <c r="K12" s="120">
        <f>K$2*'5.1.1 PKB'!L12</f>
        <v>354.87979729095917</v>
      </c>
      <c r="L12" s="120">
        <f>L$2*'5.1.1 PKB'!M12</f>
        <v>382.60478145431534</v>
      </c>
      <c r="M12" s="121">
        <f>M$2*'5.1.1 PKB'!N12</f>
        <v>411.83578675742501</v>
      </c>
    </row>
    <row r="13" spans="1:13" x14ac:dyDescent="0.3">
      <c r="A13" s="119" t="s">
        <v>10</v>
      </c>
      <c r="B13" s="120">
        <f>B$2*'5.1.1 PKB'!C13</f>
        <v>356.09199999999998</v>
      </c>
      <c r="C13" s="120">
        <f>C$2*'5.1.1 PKB'!D13</f>
        <v>346.12142399999999</v>
      </c>
      <c r="D13" s="120">
        <f>D$2*'5.1.1 PKB'!E13</f>
        <v>379.88989542899998</v>
      </c>
      <c r="E13" s="120">
        <f>E$2*'5.1.1 PKB'!F13</f>
        <v>416.31463246131</v>
      </c>
      <c r="F13" s="120">
        <f>F$2*'5.1.1 PKB'!G13</f>
        <v>454.82373596398116</v>
      </c>
      <c r="G13" s="120">
        <f>G$2*'5.1.1 PKB'!H13</f>
        <v>495.51849128707426</v>
      </c>
      <c r="H13" s="120">
        <f>H$2*'5.1.1 PKB'!I13</f>
        <v>538.50472040622788</v>
      </c>
      <c r="I13" s="120">
        <f>I$2*'5.1.1 PKB'!J13</f>
        <v>583.89297541189558</v>
      </c>
      <c r="J13" s="120">
        <f>J$2*'5.1.1 PKB'!K13</f>
        <v>631.79873998546248</v>
      </c>
      <c r="K13" s="120">
        <f>K$2*'5.1.1 PKB'!L13</f>
        <v>682.34263918429951</v>
      </c>
      <c r="L13" s="120">
        <f>L$2*'5.1.1 PKB'!M13</f>
        <v>735.65065787057279</v>
      </c>
      <c r="M13" s="121">
        <f>M$2*'5.1.1 PKB'!N13</f>
        <v>791.85436813188448</v>
      </c>
    </row>
    <row r="14" spans="1:13" x14ac:dyDescent="0.3">
      <c r="A14" s="119" t="s">
        <v>11</v>
      </c>
      <c r="B14" s="120">
        <f>B$2*'5.1.1 PKB'!C14</f>
        <v>202.74799999999999</v>
      </c>
      <c r="C14" s="120">
        <f>C$2*'5.1.1 PKB'!D14</f>
        <v>197.071056</v>
      </c>
      <c r="D14" s="120">
        <f>D$2*'5.1.1 PKB'!E14</f>
        <v>216.29780090099999</v>
      </c>
      <c r="E14" s="120">
        <f>E$2*'5.1.1 PKB'!F14</f>
        <v>237.03694298738998</v>
      </c>
      <c r="F14" s="120">
        <f>F$2*'5.1.1 PKB'!G14</f>
        <v>258.9628602137235</v>
      </c>
      <c r="G14" s="120">
        <f>G$2*'5.1.1 PKB'!H14</f>
        <v>282.13322139074091</v>
      </c>
      <c r="H14" s="120">
        <f>H$2*'5.1.1 PKB'!I14</f>
        <v>306.60827834638764</v>
      </c>
      <c r="I14" s="120">
        <f>I$2*'5.1.1 PKB'!J14</f>
        <v>332.45097609272602</v>
      </c>
      <c r="J14" s="120">
        <f>J$2*'5.1.1 PKB'!K14</f>
        <v>359.72706754033379</v>
      </c>
      <c r="K14" s="120">
        <f>K$2*'5.1.1 PKB'!L14</f>
        <v>388.50523294356043</v>
      </c>
      <c r="L14" s="120">
        <f>L$2*'5.1.1 PKB'!M14</f>
        <v>418.85720426727607</v>
      </c>
      <c r="M14" s="121">
        <f>M$2*'5.1.1 PKB'!N14</f>
        <v>450.85789467329596</v>
      </c>
    </row>
    <row r="15" spans="1:13" x14ac:dyDescent="0.3">
      <c r="A15" s="119" t="s">
        <v>12</v>
      </c>
      <c r="B15" s="120">
        <f>B$2*'5.1.1 PKB'!C15</f>
        <v>542.65200000000004</v>
      </c>
      <c r="C15" s="120">
        <f>C$2*'5.1.1 PKB'!D15</f>
        <v>527.45774399999993</v>
      </c>
      <c r="D15" s="120">
        <f>D$2*'5.1.1 PKB'!E15</f>
        <v>578.91784014899997</v>
      </c>
      <c r="E15" s="120">
        <f>E$2*'5.1.1 PKB'!F15</f>
        <v>634.42584482210998</v>
      </c>
      <c r="F15" s="120">
        <f>F$2*'5.1.1 PKB'!G15</f>
        <v>693.11023546815511</v>
      </c>
      <c r="G15" s="120">
        <f>G$2*'5.1.1 PKB'!H15</f>
        <v>755.12536179951621</v>
      </c>
      <c r="H15" s="120">
        <f>H$2*'5.1.1 PKB'!I15</f>
        <v>820.63248693562434</v>
      </c>
      <c r="I15" s="120">
        <f>I$2*'5.1.1 PKB'!J15</f>
        <v>889.8000822630554</v>
      </c>
      <c r="J15" s="120">
        <f>J$2*'5.1.1 PKB'!K15</f>
        <v>962.80413446691057</v>
      </c>
      <c r="K15" s="120">
        <f>K$2*'5.1.1 PKB'!L15</f>
        <v>1039.8284652242635</v>
      </c>
      <c r="L15" s="120">
        <f>L$2*'5.1.1 PKB'!M15</f>
        <v>1121.0650640699089</v>
      </c>
      <c r="M15" s="121">
        <f>M$2*'5.1.1 PKB'!N15</f>
        <v>1206.7144349648499</v>
      </c>
    </row>
    <row r="16" spans="1:13" x14ac:dyDescent="0.3">
      <c r="A16" s="119" t="s">
        <v>13</v>
      </c>
      <c r="B16" s="120">
        <f>B$2*'5.1.1 PKB'!C16</f>
        <v>1103.2160000000001</v>
      </c>
      <c r="C16" s="120">
        <f>C$2*'5.1.1 PKB'!D16</f>
        <v>1072.3259520000001</v>
      </c>
      <c r="D16" s="120">
        <f>D$2*'5.1.1 PKB'!E16</f>
        <v>1176.9447526920001</v>
      </c>
      <c r="E16" s="120">
        <f>E$2*'5.1.1 PKB'!F16</f>
        <v>1289.7929848618801</v>
      </c>
      <c r="F16" s="120">
        <f>F$2*'5.1.1 PKB'!G16</f>
        <v>1409.098835961604</v>
      </c>
      <c r="G16" s="120">
        <f>G$2*'5.1.1 PKB'!H16</f>
        <v>1535.1761002318526</v>
      </c>
      <c r="H16" s="120">
        <f>H$2*'5.1.1 PKB'!I16</f>
        <v>1668.3526269269657</v>
      </c>
      <c r="I16" s="120">
        <f>I$2*'5.1.1 PKB'!J16</f>
        <v>1808.9709197679529</v>
      </c>
      <c r="J16" s="120">
        <f>J$2*'5.1.1 PKB'!K16</f>
        <v>1957.3887611398236</v>
      </c>
      <c r="K16" s="120">
        <f>K$2*'5.1.1 PKB'!L16</f>
        <v>2113.9798620310094</v>
      </c>
      <c r="L16" s="120">
        <f>L$2*'5.1.1 PKB'!M16</f>
        <v>2279.1345387521819</v>
      </c>
      <c r="M16" s="121">
        <f>M$2*'5.1.1 PKB'!N16</f>
        <v>2453.2604175128486</v>
      </c>
    </row>
    <row r="17" spans="1:13" x14ac:dyDescent="0.3">
      <c r="A17" s="119" t="s">
        <v>14</v>
      </c>
      <c r="B17" s="120">
        <f>B$2*'5.1.1 PKB'!C17</f>
        <v>211.17600000000002</v>
      </c>
      <c r="C17" s="120">
        <f>C$2*'5.1.1 PKB'!D17</f>
        <v>205.26307199999999</v>
      </c>
      <c r="D17" s="120">
        <f>D$2*'5.1.1 PKB'!E17</f>
        <v>225.28905046200001</v>
      </c>
      <c r="E17" s="120">
        <f>E$2*'5.1.1 PKB'!F17</f>
        <v>246.89029471217998</v>
      </c>
      <c r="F17" s="120">
        <f>F$2*'5.1.1 PKB'!G17</f>
        <v>269.72764697305661</v>
      </c>
      <c r="G17" s="120">
        <f>G$2*'5.1.1 PKB'!H17</f>
        <v>293.86117328117217</v>
      </c>
      <c r="H17" s="120">
        <f>H$2*'5.1.1 PKB'!I17</f>
        <v>319.35363006331386</v>
      </c>
      <c r="I17" s="120">
        <f>I$2*'5.1.1 PKB'!J17</f>
        <v>346.27057888293598</v>
      </c>
      <c r="J17" s="120">
        <f>J$2*'5.1.1 PKB'!K17</f>
        <v>374.68050592310414</v>
      </c>
      <c r="K17" s="120">
        <f>K$2*'5.1.1 PKB'!L17</f>
        <v>404.65494639695243</v>
      </c>
      <c r="L17" s="120">
        <f>L$2*'5.1.1 PKB'!M17</f>
        <v>436.26861408421433</v>
      </c>
      <c r="M17" s="121">
        <f>M$2*'5.1.1 PKB'!N17</f>
        <v>469.59953620024822</v>
      </c>
    </row>
    <row r="18" spans="1:13" x14ac:dyDescent="0.3">
      <c r="A18" s="119" t="s">
        <v>15</v>
      </c>
      <c r="B18" s="120">
        <f>B$2*'5.1.1 PKB'!C18</f>
        <v>232.892</v>
      </c>
      <c r="C18" s="120">
        <f>C$2*'5.1.1 PKB'!D18</f>
        <v>226.37102400000001</v>
      </c>
      <c r="D18" s="120">
        <f>D$2*'5.1.1 PKB'!E18</f>
        <v>248.45634702900003</v>
      </c>
      <c r="E18" s="120">
        <f>E$2*'5.1.1 PKB'!F18</f>
        <v>272.27892618531001</v>
      </c>
      <c r="F18" s="120">
        <f>F$2*'5.1.1 PKB'!G18</f>
        <v>297.46472685745113</v>
      </c>
      <c r="G18" s="120">
        <f>G$2*'5.1.1 PKB'!H18</f>
        <v>324.07999189206521</v>
      </c>
      <c r="H18" s="120">
        <f>H$2*'5.1.1 PKB'!I18</f>
        <v>352.19393118870181</v>
      </c>
      <c r="I18" s="120">
        <f>I$2*'5.1.1 PKB'!J18</f>
        <v>381.87884824603526</v>
      </c>
      <c r="J18" s="120">
        <f>J$2*'5.1.1 PKB'!K18</f>
        <v>413.21027193167583</v>
      </c>
      <c r="K18" s="120">
        <f>K$2*'5.1.1 PKB'!L18</f>
        <v>446.26709368620988</v>
      </c>
      <c r="L18" s="120">
        <f>L$2*'5.1.1 PKB'!M18</f>
        <v>481.13171038044499</v>
      </c>
      <c r="M18" s="121">
        <f>M$2*'5.1.1 PKB'!N18</f>
        <v>517.89017305351092</v>
      </c>
    </row>
    <row r="19" spans="1:13" x14ac:dyDescent="0.3">
      <c r="A19" s="119" t="s">
        <v>16</v>
      </c>
      <c r="B19" s="120">
        <f>B$2*'5.1.1 PKB'!C19</f>
        <v>903.80399999999997</v>
      </c>
      <c r="C19" s="120">
        <f>C$2*'5.1.1 PKB'!D19</f>
        <v>878.49748799999998</v>
      </c>
      <c r="D19" s="120">
        <f>D$2*'5.1.1 PKB'!E19</f>
        <v>964.20589917299992</v>
      </c>
      <c r="E19" s="120">
        <f>E$2*'5.1.1 PKB'!F19</f>
        <v>1056.65622950547</v>
      </c>
      <c r="F19" s="120">
        <f>F$2*'5.1.1 PKB'!G19</f>
        <v>1154.3969307347259</v>
      </c>
      <c r="G19" s="120">
        <f>G$2*'5.1.1 PKB'!H19</f>
        <v>1257.6850771688855</v>
      </c>
      <c r="H19" s="120">
        <f>H$2*'5.1.1 PKB'!I19</f>
        <v>1366.7892576132863</v>
      </c>
      <c r="I19" s="120">
        <f>I$2*'5.1.1 PKB'!J19</f>
        <v>1481.9900664692632</v>
      </c>
      <c r="J19" s="120">
        <f>J$2*'5.1.1 PKB'!K19</f>
        <v>1603.580615104582</v>
      </c>
      <c r="K19" s="120">
        <f>K$2*'5.1.1 PKB'!L19</f>
        <v>1731.8670643129483</v>
      </c>
      <c r="L19" s="120">
        <f>L$2*'5.1.1 PKB'!M19</f>
        <v>1867.1691787123973</v>
      </c>
      <c r="M19" s="121">
        <f>M$2*'5.1.1 PKB'!N19</f>
        <v>2009.8209039660242</v>
      </c>
    </row>
    <row r="20" spans="1:13" x14ac:dyDescent="0.3">
      <c r="A20" s="122" t="s">
        <v>17</v>
      </c>
      <c r="B20" s="123">
        <f>B$2*'5.1.1 PKB'!C20</f>
        <v>336.35200000000003</v>
      </c>
      <c r="C20" s="123">
        <f>C$2*'5.1.1 PKB'!D20</f>
        <v>326.934144</v>
      </c>
      <c r="D20" s="123">
        <f>D$2*'5.1.1 PKB'!E20</f>
        <v>358.83065642399998</v>
      </c>
      <c r="E20" s="123">
        <f>E$2*'5.1.1 PKB'!F20</f>
        <v>393.23618406935992</v>
      </c>
      <c r="F20" s="123">
        <f>F$2*'5.1.1 PKB'!G20</f>
        <v>429.61053109577568</v>
      </c>
      <c r="G20" s="123">
        <f>G$2*'5.1.1 PKB'!H20</f>
        <v>468.04936808855558</v>
      </c>
      <c r="H20" s="123">
        <f>H$2*'5.1.1 PKB'!I20</f>
        <v>508.6526507702377</v>
      </c>
      <c r="I20" s="123">
        <f>I$2*'5.1.1 PKB'!J20</f>
        <v>551.5248027637291</v>
      </c>
      <c r="J20" s="123">
        <f>J$2*'5.1.1 PKB'!K20</f>
        <v>596.77490589957142</v>
      </c>
      <c r="K20" s="123">
        <f>K$2*'5.1.1 PKB'!L20</f>
        <v>644.51689837153708</v>
      </c>
      <c r="L20" s="123">
        <f>L$2*'5.1.1 PKB'!M20</f>
        <v>694.86978105681339</v>
      </c>
      <c r="M20" s="124">
        <f>M$2*'5.1.1 PKB'!N20</f>
        <v>747.95783232955398</v>
      </c>
    </row>
    <row r="22" spans="1:13" x14ac:dyDescent="0.3">
      <c r="A22" s="27" t="s">
        <v>399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6"/>
    </row>
    <row r="23" spans="1:13" x14ac:dyDescent="0.3">
      <c r="A23" s="29" t="s">
        <v>398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6"/>
    </row>
    <row r="25" spans="1:13" x14ac:dyDescent="0.3">
      <c r="A25" s="268" t="s">
        <v>400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6"/>
    </row>
    <row r="27" spans="1:13" x14ac:dyDescent="0.3">
      <c r="A27" s="27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6"/>
    </row>
    <row r="28" spans="1:13" x14ac:dyDescent="0.3">
      <c r="A28"/>
      <c r="B28" s="18"/>
      <c r="C28" s="18"/>
    </row>
    <row r="29" spans="1:13" x14ac:dyDescent="0.3">
      <c r="A29"/>
      <c r="B29"/>
      <c r="C29"/>
    </row>
    <row r="30" spans="1:13" x14ac:dyDescent="0.3">
      <c r="A30"/>
      <c r="B30"/>
      <c r="C30" s="15"/>
    </row>
    <row r="31" spans="1:13" x14ac:dyDescent="0.3">
      <c r="A31"/>
      <c r="B31"/>
      <c r="C31" s="16"/>
    </row>
    <row r="32" spans="1:13" x14ac:dyDescent="0.3">
      <c r="A32"/>
      <c r="B32"/>
      <c r="C32" s="16"/>
    </row>
    <row r="33" spans="1:3" x14ac:dyDescent="0.3">
      <c r="A33"/>
      <c r="B33"/>
      <c r="C33" s="16"/>
    </row>
    <row r="34" spans="1:3" x14ac:dyDescent="0.3">
      <c r="A34"/>
      <c r="B34"/>
      <c r="C34" s="17"/>
    </row>
    <row r="35" spans="1:3" x14ac:dyDescent="0.3">
      <c r="A35"/>
      <c r="B35"/>
      <c r="C35"/>
    </row>
    <row r="36" spans="1:3" x14ac:dyDescent="0.3">
      <c r="A36"/>
      <c r="B36"/>
      <c r="C36"/>
    </row>
    <row r="37" spans="1:3" x14ac:dyDescent="0.3">
      <c r="A37"/>
      <c r="B37"/>
      <c r="C37"/>
    </row>
  </sheetData>
  <pageMargins left="0.7" right="0.7" top="0.75" bottom="0.75" header="0.3" footer="0.3"/>
  <pageSetup paperSize="9" orientation="portrait" horizontalDpi="4294967294" verticalDpi="4294967294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A1:BO34"/>
  <sheetViews>
    <sheetView topLeftCell="AA1" zoomScale="70" zoomScaleNormal="70" workbookViewId="0">
      <selection activeCell="BD3" sqref="BD3"/>
    </sheetView>
  </sheetViews>
  <sheetFormatPr defaultRowHeight="14.4" x14ac:dyDescent="0.3"/>
  <cols>
    <col min="1" max="1" width="28.6640625" customWidth="1"/>
    <col min="2" max="2" width="49.5546875" customWidth="1"/>
    <col min="3" max="3" width="14.6640625" customWidth="1"/>
    <col min="4" max="4" width="13.88671875" customWidth="1"/>
    <col min="5" max="5" width="14.44140625" customWidth="1"/>
    <col min="6" max="6" width="14.6640625" customWidth="1"/>
    <col min="7" max="7" width="15" customWidth="1"/>
    <col min="8" max="8" width="43.33203125" customWidth="1"/>
    <col min="9" max="9" width="15.88671875" customWidth="1"/>
    <col min="10" max="10" width="15.33203125" customWidth="1"/>
    <col min="11" max="11" width="13.5546875" customWidth="1"/>
    <col min="12" max="13" width="15" bestFit="1" customWidth="1"/>
    <col min="14" max="14" width="31.6640625" customWidth="1"/>
    <col min="15" max="15" width="15" customWidth="1"/>
    <col min="16" max="16" width="13.109375" customWidth="1"/>
    <col min="17" max="17" width="13" customWidth="1"/>
    <col min="18" max="18" width="13.88671875" customWidth="1"/>
    <col min="19" max="19" width="13.5546875" customWidth="1"/>
    <col min="20" max="20" width="31.44140625" customWidth="1"/>
    <col min="21" max="21" width="15.6640625" customWidth="1"/>
    <col min="22" max="23" width="14.44140625" customWidth="1"/>
    <col min="24" max="24" width="14" customWidth="1"/>
    <col min="25" max="25" width="16" customWidth="1"/>
    <col min="26" max="26" width="28.33203125" customWidth="1"/>
    <col min="27" max="27" width="14.33203125" customWidth="1"/>
    <col min="28" max="28" width="13.33203125" customWidth="1"/>
    <col min="29" max="29" width="14.33203125" customWidth="1"/>
    <col min="30" max="30" width="13.5546875" customWidth="1"/>
    <col min="31" max="31" width="14.109375" customWidth="1"/>
    <col min="32" max="32" width="26.88671875" customWidth="1"/>
    <col min="33" max="33" width="14.88671875" customWidth="1"/>
    <col min="34" max="34" width="14.44140625" customWidth="1"/>
    <col min="35" max="35" width="15.109375" customWidth="1"/>
    <col min="36" max="36" width="14.88671875" customWidth="1"/>
    <col min="37" max="37" width="14.6640625" customWidth="1"/>
    <col min="38" max="38" width="31.6640625" customWidth="1"/>
    <col min="39" max="39" width="15" customWidth="1"/>
    <col min="40" max="40" width="14.5546875" customWidth="1"/>
    <col min="41" max="41" width="14.88671875" customWidth="1"/>
    <col min="42" max="42" width="15" customWidth="1"/>
    <col min="43" max="43" width="16" customWidth="1"/>
    <col min="44" max="44" width="24" customWidth="1"/>
    <col min="45" max="45" width="14.6640625" customWidth="1"/>
    <col min="46" max="46" width="14.88671875" customWidth="1"/>
    <col min="47" max="47" width="17.5546875" customWidth="1"/>
    <col min="48" max="48" width="14.5546875" customWidth="1"/>
    <col min="49" max="49" width="15.109375" customWidth="1"/>
    <col min="50" max="50" width="23.33203125" customWidth="1"/>
    <col min="51" max="51" width="13.88671875" customWidth="1"/>
    <col min="52" max="52" width="13.5546875" customWidth="1"/>
    <col min="53" max="53" width="13.6640625" customWidth="1"/>
    <col min="54" max="54" width="13" customWidth="1"/>
    <col min="55" max="55" width="14.88671875" customWidth="1"/>
    <col min="56" max="56" width="23" customWidth="1"/>
    <col min="57" max="57" width="14.5546875" customWidth="1"/>
    <col min="58" max="58" width="13" customWidth="1"/>
    <col min="59" max="59" width="14.109375" customWidth="1"/>
    <col min="60" max="60" width="15.88671875" customWidth="1"/>
    <col min="61" max="61" width="14.6640625" customWidth="1"/>
    <col min="62" max="62" width="21.44140625" customWidth="1"/>
    <col min="63" max="63" width="15.88671875" customWidth="1"/>
    <col min="64" max="64" width="16.44140625" customWidth="1"/>
    <col min="65" max="65" width="14.88671875" customWidth="1"/>
    <col min="66" max="66" width="14.6640625" customWidth="1"/>
    <col min="67" max="67" width="14.88671875" customWidth="1"/>
  </cols>
  <sheetData>
    <row r="1" spans="1:67" ht="47.25" customHeight="1" thickBot="1" x14ac:dyDescent="0.35">
      <c r="A1" s="143" t="s">
        <v>18</v>
      </c>
      <c r="B1" s="144" t="s">
        <v>182</v>
      </c>
      <c r="C1" s="143" t="s">
        <v>64</v>
      </c>
      <c r="D1" s="143" t="s">
        <v>20</v>
      </c>
      <c r="E1" s="143" t="s">
        <v>21</v>
      </c>
      <c r="F1" s="143" t="s">
        <v>22</v>
      </c>
      <c r="G1" s="143" t="s">
        <v>23</v>
      </c>
      <c r="H1" s="144" t="s">
        <v>183</v>
      </c>
      <c r="I1" s="143" t="s">
        <v>184</v>
      </c>
      <c r="J1" s="143" t="s">
        <v>185</v>
      </c>
      <c r="K1" s="143" t="s">
        <v>186</v>
      </c>
      <c r="L1" s="143" t="s">
        <v>187</v>
      </c>
      <c r="M1" s="143" t="s">
        <v>188</v>
      </c>
      <c r="N1" s="275" t="s">
        <v>189</v>
      </c>
      <c r="O1" s="143" t="s">
        <v>190</v>
      </c>
      <c r="P1" s="143" t="s">
        <v>191</v>
      </c>
      <c r="Q1" s="143" t="s">
        <v>192</v>
      </c>
      <c r="R1" s="143" t="s">
        <v>193</v>
      </c>
      <c r="S1" s="143" t="s">
        <v>194</v>
      </c>
      <c r="T1" s="144" t="s">
        <v>195</v>
      </c>
      <c r="U1" s="143" t="s">
        <v>196</v>
      </c>
      <c r="V1" s="143" t="s">
        <v>197</v>
      </c>
      <c r="W1" s="143" t="s">
        <v>198</v>
      </c>
      <c r="X1" s="143" t="s">
        <v>199</v>
      </c>
      <c r="Y1" s="143" t="s">
        <v>200</v>
      </c>
      <c r="Z1" s="144" t="s">
        <v>201</v>
      </c>
      <c r="AA1" s="143" t="s">
        <v>202</v>
      </c>
      <c r="AB1" s="143" t="s">
        <v>203</v>
      </c>
      <c r="AC1" s="143" t="s">
        <v>204</v>
      </c>
      <c r="AD1" s="143" t="s">
        <v>205</v>
      </c>
      <c r="AE1" s="143" t="s">
        <v>206</v>
      </c>
      <c r="AF1" s="275" t="s">
        <v>207</v>
      </c>
      <c r="AG1" s="143" t="s">
        <v>208</v>
      </c>
      <c r="AH1" s="143" t="s">
        <v>209</v>
      </c>
      <c r="AI1" s="143" t="s">
        <v>210</v>
      </c>
      <c r="AJ1" s="143" t="s">
        <v>211</v>
      </c>
      <c r="AK1" s="143" t="s">
        <v>212</v>
      </c>
      <c r="AL1" s="275" t="s">
        <v>213</v>
      </c>
      <c r="AM1" s="143" t="s">
        <v>214</v>
      </c>
      <c r="AN1" s="143" t="s">
        <v>215</v>
      </c>
      <c r="AO1" s="143" t="s">
        <v>216</v>
      </c>
      <c r="AP1" s="143" t="s">
        <v>217</v>
      </c>
      <c r="AQ1" s="143" t="s">
        <v>218</v>
      </c>
      <c r="AR1" s="275" t="s">
        <v>250</v>
      </c>
      <c r="AS1" s="143" t="s">
        <v>219</v>
      </c>
      <c r="AT1" s="143" t="s">
        <v>220</v>
      </c>
      <c r="AU1" s="143" t="s">
        <v>221</v>
      </c>
      <c r="AV1" s="143" t="s">
        <v>222</v>
      </c>
      <c r="AW1" s="143" t="s">
        <v>223</v>
      </c>
      <c r="AX1" s="275" t="s">
        <v>224</v>
      </c>
      <c r="AY1" s="143" t="s">
        <v>225</v>
      </c>
      <c r="AZ1" s="143" t="s">
        <v>226</v>
      </c>
      <c r="BA1" s="143" t="s">
        <v>227</v>
      </c>
      <c r="BB1" s="143" t="s">
        <v>228</v>
      </c>
      <c r="BC1" s="143" t="s">
        <v>229</v>
      </c>
      <c r="BD1" s="275" t="s">
        <v>230</v>
      </c>
      <c r="BE1" s="143" t="s">
        <v>231</v>
      </c>
      <c r="BF1" s="143" t="s">
        <v>232</v>
      </c>
      <c r="BG1" s="143" t="s">
        <v>233</v>
      </c>
      <c r="BH1" s="143" t="s">
        <v>234</v>
      </c>
      <c r="BI1" s="143" t="s">
        <v>235</v>
      </c>
      <c r="BJ1" s="144" t="s">
        <v>236</v>
      </c>
      <c r="BK1" s="143" t="s">
        <v>237</v>
      </c>
      <c r="BL1" s="143" t="s">
        <v>238</v>
      </c>
      <c r="BM1" s="143" t="s">
        <v>239</v>
      </c>
      <c r="BN1" s="143" t="s">
        <v>240</v>
      </c>
      <c r="BO1" s="143" t="s">
        <v>241</v>
      </c>
    </row>
    <row r="2" spans="1:67" ht="15" thickTop="1" x14ac:dyDescent="0.3">
      <c r="A2" s="126" t="s">
        <v>1</v>
      </c>
      <c r="B2" s="68">
        <f>Tabela5[[#This Row],[MŚP]]+Tabela5[[#This Row],[Duże]]</f>
        <v>218207901</v>
      </c>
      <c r="C2" s="68">
        <f>SUM(D2:F2)</f>
        <v>99472838</v>
      </c>
      <c r="D2" s="68">
        <v>38754261</v>
      </c>
      <c r="E2" s="68">
        <v>19131951</v>
      </c>
      <c r="F2" s="68">
        <v>41586626</v>
      </c>
      <c r="G2" s="68">
        <v>118735063</v>
      </c>
      <c r="H2" s="68">
        <f>SUM(J2:M2)</f>
        <v>145471934</v>
      </c>
      <c r="I2" s="68">
        <f>SUM(J2:L2)</f>
        <v>66315225.333333328</v>
      </c>
      <c r="J2" s="68">
        <f>D2*40/60</f>
        <v>25836174</v>
      </c>
      <c r="K2" s="68">
        <f>E2*40/60</f>
        <v>12754634</v>
      </c>
      <c r="L2" s="68">
        <f>F2*40/60</f>
        <v>27724417.333333332</v>
      </c>
      <c r="M2" s="68">
        <f>G2*40/60</f>
        <v>79156708.666666672</v>
      </c>
      <c r="N2" s="68">
        <v>16950841.800000001</v>
      </c>
      <c r="O2" s="68">
        <f>SUM(P2:R2)</f>
        <v>5627679.4775999999</v>
      </c>
      <c r="P2" s="68">
        <f>N2*2.6%</f>
        <v>440721.88680000004</v>
      </c>
      <c r="Q2" s="68">
        <f>N2*9.9%</f>
        <v>1678133.3382000001</v>
      </c>
      <c r="R2" s="68">
        <f>N2*20.7%</f>
        <v>3508824.2525999998</v>
      </c>
      <c r="S2" s="68">
        <f>N2*66.8%</f>
        <v>11323162.3224</v>
      </c>
      <c r="T2" s="68">
        <f>SUM(V2:Y2)</f>
        <v>380630676.80000001</v>
      </c>
      <c r="U2" s="68">
        <f>SUM(V2:X2)</f>
        <v>171415742.81093332</v>
      </c>
      <c r="V2" s="68">
        <f>SUM(D2,J2,P2)</f>
        <v>65031156.886799999</v>
      </c>
      <c r="W2" s="68">
        <f>SUM(E2,K2,Q2)</f>
        <v>33564718.338200003</v>
      </c>
      <c r="X2" s="68">
        <f>SUM(F2,L2,R2)</f>
        <v>72819867.585933328</v>
      </c>
      <c r="Y2" s="68">
        <f>SUM(G2,M2,S2)</f>
        <v>209214933.98906669</v>
      </c>
      <c r="Z2" s="127">
        <v>1</v>
      </c>
      <c r="AA2" s="127">
        <f>U2/T2</f>
        <v>0.45034663062904579</v>
      </c>
      <c r="AB2" s="127">
        <f>V2/T2</f>
        <v>0.17085106600845579</v>
      </c>
      <c r="AC2" s="127">
        <f>W2/T2</f>
        <v>8.8181852866883806E-2</v>
      </c>
      <c r="AD2" s="127">
        <f>X2/T2</f>
        <v>0.19131371175370626</v>
      </c>
      <c r="AE2" s="127">
        <f>Y2/T2</f>
        <v>0.54965336937095421</v>
      </c>
      <c r="AF2" s="68">
        <f>SUM(AH2:AK2)</f>
        <v>232609622.46599996</v>
      </c>
      <c r="AG2" s="68">
        <f>SUM(AH2:AJ2)</f>
        <v>106038045.30799998</v>
      </c>
      <c r="AH2" s="68">
        <f>SUM(AH3:AH18)</f>
        <v>41312042.225999996</v>
      </c>
      <c r="AI2" s="68">
        <f>SUM(AI3:AI18)</f>
        <v>20394659.765999995</v>
      </c>
      <c r="AJ2" s="68">
        <f>SUM(AJ3:AJ18)</f>
        <v>44331343.315999992</v>
      </c>
      <c r="AK2" s="68">
        <f>SUM(AK3:AK18)</f>
        <v>126571577.15799998</v>
      </c>
      <c r="AL2" s="68">
        <f>SUM(AN2:AQ2)</f>
        <v>238843560.3480888</v>
      </c>
      <c r="AM2" s="68">
        <f>SUM(AN2:AP2)</f>
        <v>108879864.92225438</v>
      </c>
      <c r="AN2" s="68">
        <f>SUM(AN3:AN18)</f>
        <v>42419204.957656793</v>
      </c>
      <c r="AO2" s="68">
        <f>SUM(AO3:AO18)</f>
        <v>20941236.647728797</v>
      </c>
      <c r="AP2" s="68">
        <f>SUM(AP3:AP18)</f>
        <v>45519423.316868797</v>
      </c>
      <c r="AQ2" s="68">
        <f>SUM(AQ3:AQ18)</f>
        <v>129963695.42583442</v>
      </c>
      <c r="AR2" s="68">
        <f>SUM(AT2:AW2)</f>
        <v>159229040.23205921</v>
      </c>
      <c r="AS2" s="68">
        <f>SUM(AT2:AV2)</f>
        <v>72586576.614836261</v>
      </c>
      <c r="AT2" s="68">
        <f>AN2*40/60</f>
        <v>28279469.971771196</v>
      </c>
      <c r="AU2" s="68">
        <f>AO2*40/60</f>
        <v>13960824.431819199</v>
      </c>
      <c r="AV2" s="68">
        <f>AP2*40/60</f>
        <v>30346282.211245861</v>
      </c>
      <c r="AW2" s="68">
        <f>AQ2*40/60</f>
        <v>86642463.61722295</v>
      </c>
      <c r="AX2" s="68">
        <f>SUM(AZ2:BC2)</f>
        <v>9150952</v>
      </c>
      <c r="AY2" s="68">
        <f>SUM(AZ2:BB2)</f>
        <v>3115899.1560000004</v>
      </c>
      <c r="AZ2" s="68">
        <f>SUM(AZ3:AZ18)</f>
        <v>258056.84640000004</v>
      </c>
      <c r="BA2" s="68">
        <f>SUM(BA3:BA18)</f>
        <v>886727.24880000006</v>
      </c>
      <c r="BB2" s="68">
        <f>SUM(BB3:BB18)</f>
        <v>1971115.0608000001</v>
      </c>
      <c r="BC2" s="68">
        <f>SUM(BC3:BC18)</f>
        <v>6035052.8440000005</v>
      </c>
      <c r="BD2" s="68">
        <f>SUM(BF2:BI2)</f>
        <v>8894725.3440000005</v>
      </c>
      <c r="BE2" s="68">
        <f>SUM(BF2:BH2)</f>
        <v>3028653.979632</v>
      </c>
      <c r="BF2" s="68">
        <f>SUM(BF3:BF18)</f>
        <v>250831.25470079997</v>
      </c>
      <c r="BG2" s="68">
        <f>SUM(BG3:BG18)</f>
        <v>861898.88583359995</v>
      </c>
      <c r="BH2" s="68">
        <f>SUM(BH3:BH18)</f>
        <v>1915923.8390976</v>
      </c>
      <c r="BI2" s="68">
        <f>SUM(BI3:BI18)</f>
        <v>5866071.3643680001</v>
      </c>
      <c r="BJ2" s="68">
        <f>SUM(BL2:BO2)</f>
        <v>406967325.92414802</v>
      </c>
      <c r="BK2" s="68">
        <f>SUM(BL2:BN2)</f>
        <v>184495095.51672265</v>
      </c>
      <c r="BL2" s="68">
        <f>BF2+AT2+AN2</f>
        <v>70949506.184128791</v>
      </c>
      <c r="BM2" s="68">
        <f>BG2+AU2+AO2</f>
        <v>35763959.965381593</v>
      </c>
      <c r="BN2" s="68">
        <f>BH2+AV2+AP2</f>
        <v>77781629.367212266</v>
      </c>
      <c r="BO2" s="128">
        <f>BI2+AW2+AQ2</f>
        <v>222472230.40742537</v>
      </c>
    </row>
    <row r="3" spans="1:67" x14ac:dyDescent="0.3">
      <c r="A3" s="126" t="s">
        <v>2</v>
      </c>
      <c r="B3" s="68">
        <f>Tabela5[[#This Row],[MŚP]]+Tabela5[[#This Row],[Duże]]</f>
        <v>16986139</v>
      </c>
      <c r="C3" s="68">
        <f t="shared" ref="C3:C18" si="0">SUM(D3:F3)</f>
        <v>7794389</v>
      </c>
      <c r="D3" s="68">
        <v>2545202</v>
      </c>
      <c r="E3" s="68">
        <v>1514241</v>
      </c>
      <c r="F3" s="68">
        <v>3734946</v>
      </c>
      <c r="G3" s="68">
        <v>9191750</v>
      </c>
      <c r="H3" s="68">
        <f t="shared" ref="H3:H18" si="1">SUM(J3:M3)</f>
        <v>11324092.666666666</v>
      </c>
      <c r="I3" s="68">
        <f t="shared" ref="I3:I18" si="2">SUM(J3:L3)</f>
        <v>5196259.333333333</v>
      </c>
      <c r="J3" s="68">
        <f t="shared" ref="J3:J18" si="3">D3*40/60</f>
        <v>1696801.3333333333</v>
      </c>
      <c r="K3" s="68">
        <f t="shared" ref="K3:K18" si="4">E3*40/60</f>
        <v>1009494</v>
      </c>
      <c r="L3" s="68">
        <f t="shared" ref="L3:L18" si="5">F3*40/60</f>
        <v>2489964</v>
      </c>
      <c r="M3" s="68">
        <f t="shared" ref="M3:M18" si="6">G3*40/60</f>
        <v>6127833.333333333</v>
      </c>
      <c r="N3" s="68">
        <v>1197727.7</v>
      </c>
      <c r="O3" s="68">
        <f t="shared" ref="O3:O18" si="7">SUM(P3:R3)</f>
        <v>397645.59639999998</v>
      </c>
      <c r="P3" s="68">
        <f t="shared" ref="P3:P18" si="8">N3*2.6%</f>
        <v>31140.9202</v>
      </c>
      <c r="Q3" s="68">
        <f t="shared" ref="Q3:Q18" si="9">N3*9.9%</f>
        <v>118575.0423</v>
      </c>
      <c r="R3" s="68">
        <f t="shared" ref="R3:R18" si="10">N3*20.7%</f>
        <v>247929.63389999999</v>
      </c>
      <c r="S3" s="68">
        <f t="shared" ref="S3:S18" si="11">N3*66.8%</f>
        <v>800082.10359999991</v>
      </c>
      <c r="T3" s="68">
        <f t="shared" ref="T3:T18" si="12">SUM(V3:Y3)</f>
        <v>29507959.366666663</v>
      </c>
      <c r="U3" s="68">
        <f t="shared" ref="U3:U18" si="13">SUM(V3:X3)</f>
        <v>13388293.929733332</v>
      </c>
      <c r="V3" s="68">
        <f t="shared" ref="V3:V18" si="14">SUM(D3,J3,P3)</f>
        <v>4273144.2535333326</v>
      </c>
      <c r="W3" s="68">
        <f t="shared" ref="W3:W18" si="15">SUM(E3,K3,Q3)</f>
        <v>2642310.0422999999</v>
      </c>
      <c r="X3" s="68">
        <f t="shared" ref="X3:X18" si="16">SUM(F3,L3,R3)</f>
        <v>6472839.6338999998</v>
      </c>
      <c r="Y3" s="68">
        <f t="shared" ref="Y3:Y18" si="17">SUM(G3,M3,S3)</f>
        <v>16119665.436933331</v>
      </c>
      <c r="Z3" s="127">
        <v>1</v>
      </c>
      <c r="AA3" s="127">
        <f t="shared" ref="AA3:AA18" si="18">U3/T3</f>
        <v>0.45371805496171547</v>
      </c>
      <c r="AB3" s="127">
        <f t="shared" ref="AB3:AB18" si="19">V3/T3</f>
        <v>0.14481327564658511</v>
      </c>
      <c r="AC3" s="127">
        <f t="shared" ref="AC3:AC18" si="20">W3/T3</f>
        <v>8.9545671710692942E-2</v>
      </c>
      <c r="AD3" s="127">
        <f t="shared" ref="AD3:AD18" si="21">X3/T3</f>
        <v>0.21935910760443741</v>
      </c>
      <c r="AE3" s="127">
        <f t="shared" ref="AE3:AE18" si="22">Y3/T3</f>
        <v>0.54628194503828453</v>
      </c>
      <c r="AF3" s="68">
        <f t="shared" ref="AF3:AF18" si="23">SUM(AH3:AK3)</f>
        <v>18107224.173999995</v>
      </c>
      <c r="AG3" s="68">
        <f t="shared" ref="AG3:AG18" si="24">SUM(AH3:AJ3)</f>
        <v>8308818.6739999987</v>
      </c>
      <c r="AH3" s="68">
        <f t="shared" ref="AH3:AH18" si="25">D3*106.6%</f>
        <v>2713185.3319999995</v>
      </c>
      <c r="AI3" s="68">
        <f t="shared" ref="AI3:AI18" si="26">E3*106.6%</f>
        <v>1614180.9059999997</v>
      </c>
      <c r="AJ3" s="68">
        <f t="shared" ref="AJ3:AJ18" si="27">F3*106.6%</f>
        <v>3981452.4359999993</v>
      </c>
      <c r="AK3" s="68">
        <f t="shared" ref="AK3:AK18" si="28">G3*106.6%</f>
        <v>9798405.4999999981</v>
      </c>
      <c r="AL3" s="68">
        <f t="shared" ref="AL3:AL18" si="29">SUM(AN3:AQ3)</f>
        <v>18592497.781863198</v>
      </c>
      <c r="AM3" s="68">
        <f t="shared" ref="AM3:AM18" si="30">SUM(AN3:AP3)</f>
        <v>8531495.0144631993</v>
      </c>
      <c r="AN3" s="68">
        <f t="shared" ref="AN3:AN18" si="31">AH3*102.68%</f>
        <v>2785898.6988975997</v>
      </c>
      <c r="AO3" s="68">
        <f t="shared" ref="AO3:AO18" si="32">AI3*102.68%</f>
        <v>1657440.9542808</v>
      </c>
      <c r="AP3" s="68">
        <f t="shared" ref="AP3:AP18" si="33">AJ3*102.68%</f>
        <v>4088155.3612847999</v>
      </c>
      <c r="AQ3" s="68">
        <f t="shared" ref="AQ3:AQ18" si="34">AK3*102.68%</f>
        <v>10061002.7674</v>
      </c>
      <c r="AR3" s="68">
        <f t="shared" ref="AR3:AR18" si="35">SUM(AT3:AW3)</f>
        <v>12394998.521242132</v>
      </c>
      <c r="AS3" s="68">
        <f t="shared" ref="AS3:AS18" si="36">SUM(AT3:AV3)</f>
        <v>5687663.3429754665</v>
      </c>
      <c r="AT3" s="68">
        <f t="shared" ref="AT3:AT18" si="37">AN3*40/60</f>
        <v>1857265.7992650666</v>
      </c>
      <c r="AU3" s="68">
        <f t="shared" ref="AU3:AU18" si="38">AO3*40/60</f>
        <v>1104960.6361872</v>
      </c>
      <c r="AV3" s="68">
        <f t="shared" ref="AV3:AV18" si="39">AP3*40/60</f>
        <v>2725436.9075231999</v>
      </c>
      <c r="AW3" s="68">
        <f t="shared" ref="AW3:AW18" si="40">AQ3*40/60</f>
        <v>6707335.1782666659</v>
      </c>
      <c r="AX3" s="68">
        <f>'5.1.1 Nakłady B+R'!B5*1000</f>
        <v>756780</v>
      </c>
      <c r="AY3" s="68">
        <f t="shared" ref="AY3:AY18" si="41">SUM(AZ3:BB3)</f>
        <v>257683.58999999997</v>
      </c>
      <c r="AZ3" s="68">
        <f t="shared" ref="AZ3:AZ18" si="42">AX3*2.82%</f>
        <v>21341.196</v>
      </c>
      <c r="BA3" s="68">
        <f t="shared" ref="BA3:BA18" si="43">AX3*9.69%</f>
        <v>73331.982000000004</v>
      </c>
      <c r="BB3" s="68">
        <f t="shared" ref="BB3:BB18" si="44">AX3*21.54%</f>
        <v>163010.41199999998</v>
      </c>
      <c r="BC3" s="68">
        <f t="shared" ref="BC3:BC18" si="45">AX3*65.95%</f>
        <v>499096.41</v>
      </c>
      <c r="BD3" s="68">
        <f>'5.1.1 Nakłady B+R'!C5*1000</f>
        <v>735590.16</v>
      </c>
      <c r="BE3" s="68">
        <f t="shared" ref="BE3:BE18" si="46">SUM(BF3:BH3)</f>
        <v>250468.44948000001</v>
      </c>
      <c r="BF3" s="68">
        <f t="shared" ref="BF3:BF18" si="47">BD3*2.82%</f>
        <v>20743.642512000002</v>
      </c>
      <c r="BG3" s="68">
        <f t="shared" ref="BG3:BG18" si="48">BD3*9.69%</f>
        <v>71278.686503999998</v>
      </c>
      <c r="BH3" s="68">
        <f t="shared" ref="BH3:BH18" si="49">BD3*21.54%</f>
        <v>158446.12046400001</v>
      </c>
      <c r="BI3" s="68">
        <f>BD3*65.95%</f>
        <v>485121.71052000002</v>
      </c>
      <c r="BJ3" s="68">
        <f t="shared" ref="BJ3:BJ18" si="50">SUM(BL3:BO3)</f>
        <v>31723086.463105332</v>
      </c>
      <c r="BK3" s="68">
        <f t="shared" ref="BK3:BK18" si="51">SUM(BL3:BN3)</f>
        <v>14469626.806918666</v>
      </c>
      <c r="BL3" s="68">
        <f t="shared" ref="BL3:BL18" si="52">BF3+AT3+AN3</f>
        <v>4663908.1406746665</v>
      </c>
      <c r="BM3" s="68">
        <f t="shared" ref="BM3:BM18" si="53">BG3+AU3+AO3</f>
        <v>2833680.276972</v>
      </c>
      <c r="BN3" s="68">
        <f t="shared" ref="BN3:BN18" si="54">BH3+AV3+AP3</f>
        <v>6972038.3892719997</v>
      </c>
      <c r="BO3" s="128">
        <f t="shared" ref="BO3:BO18" si="55">BI3+AW3+AQ3</f>
        <v>17253459.656186666</v>
      </c>
    </row>
    <row r="4" spans="1:67" x14ac:dyDescent="0.3">
      <c r="A4" s="126" t="s">
        <v>3</v>
      </c>
      <c r="B4" s="68">
        <f>Tabela5[[#This Row],[MŚP]]+Tabela5[[#This Row],[Duże]]</f>
        <v>6413435</v>
      </c>
      <c r="C4" s="68">
        <f t="shared" si="0"/>
        <v>4039068</v>
      </c>
      <c r="D4" s="68">
        <v>1253758</v>
      </c>
      <c r="E4" s="68">
        <v>1095021</v>
      </c>
      <c r="F4" s="68">
        <v>1690289</v>
      </c>
      <c r="G4" s="68">
        <v>2374367</v>
      </c>
      <c r="H4" s="68">
        <f t="shared" si="1"/>
        <v>4275623.333333333</v>
      </c>
      <c r="I4" s="68">
        <f t="shared" si="2"/>
        <v>2692712</v>
      </c>
      <c r="J4" s="68">
        <f t="shared" si="3"/>
        <v>835838.66666666663</v>
      </c>
      <c r="K4" s="68">
        <f t="shared" si="4"/>
        <v>730014</v>
      </c>
      <c r="L4" s="68">
        <f t="shared" si="5"/>
        <v>1126859.3333333333</v>
      </c>
      <c r="M4" s="68">
        <f t="shared" si="6"/>
        <v>1582911.3333333333</v>
      </c>
      <c r="N4" s="68">
        <v>395660.1</v>
      </c>
      <c r="O4" s="68">
        <f t="shared" si="7"/>
        <v>131359.1532</v>
      </c>
      <c r="P4" s="68">
        <f t="shared" si="8"/>
        <v>10287.1626</v>
      </c>
      <c r="Q4" s="68">
        <f t="shared" si="9"/>
        <v>39170.349900000001</v>
      </c>
      <c r="R4" s="68">
        <f t="shared" si="10"/>
        <v>81901.640699999989</v>
      </c>
      <c r="S4" s="68">
        <f t="shared" si="11"/>
        <v>264300.94679999998</v>
      </c>
      <c r="T4" s="68">
        <f t="shared" si="12"/>
        <v>11084718.433333332</v>
      </c>
      <c r="U4" s="68">
        <f t="shared" si="13"/>
        <v>6863139.1531999987</v>
      </c>
      <c r="V4" s="68">
        <f t="shared" si="14"/>
        <v>2099883.8292666664</v>
      </c>
      <c r="W4" s="68">
        <f t="shared" si="15"/>
        <v>1864205.3499</v>
      </c>
      <c r="X4" s="68">
        <f t="shared" si="16"/>
        <v>2899049.9740333329</v>
      </c>
      <c r="Y4" s="68">
        <f t="shared" si="17"/>
        <v>4221579.2801333331</v>
      </c>
      <c r="Z4" s="127">
        <v>1</v>
      </c>
      <c r="AA4" s="127">
        <f t="shared" si="18"/>
        <v>0.61915322382583571</v>
      </c>
      <c r="AB4" s="127">
        <f t="shared" si="19"/>
        <v>0.18943952811214543</v>
      </c>
      <c r="AC4" s="127">
        <f t="shared" si="20"/>
        <v>0.16817796149824324</v>
      </c>
      <c r="AD4" s="127">
        <f t="shared" si="21"/>
        <v>0.26153573421544707</v>
      </c>
      <c r="AE4" s="127">
        <f t="shared" si="22"/>
        <v>0.38084677617416435</v>
      </c>
      <c r="AF4" s="68">
        <f t="shared" si="23"/>
        <v>6836721.709999999</v>
      </c>
      <c r="AG4" s="68">
        <f t="shared" si="24"/>
        <v>4305646.487999999</v>
      </c>
      <c r="AH4" s="68">
        <f t="shared" si="25"/>
        <v>1336506.0279999997</v>
      </c>
      <c r="AI4" s="68">
        <f t="shared" si="26"/>
        <v>1167292.3859999997</v>
      </c>
      <c r="AJ4" s="68">
        <f t="shared" si="27"/>
        <v>1801848.0739999998</v>
      </c>
      <c r="AK4" s="68">
        <f t="shared" si="28"/>
        <v>2531075.2219999996</v>
      </c>
      <c r="AL4" s="68">
        <f t="shared" si="29"/>
        <v>7019945.8518279996</v>
      </c>
      <c r="AM4" s="68">
        <f t="shared" si="30"/>
        <v>4421037.8138784003</v>
      </c>
      <c r="AN4" s="68">
        <f t="shared" si="31"/>
        <v>1372324.3895504</v>
      </c>
      <c r="AO4" s="68">
        <f t="shared" si="32"/>
        <v>1198575.8219448</v>
      </c>
      <c r="AP4" s="68">
        <f t="shared" si="33"/>
        <v>1850137.6023832001</v>
      </c>
      <c r="AQ4" s="68">
        <f t="shared" si="34"/>
        <v>2598908.0379495998</v>
      </c>
      <c r="AR4" s="68">
        <f t="shared" si="35"/>
        <v>4679963.9012186667</v>
      </c>
      <c r="AS4" s="68">
        <f t="shared" si="36"/>
        <v>2947358.5425856002</v>
      </c>
      <c r="AT4" s="68">
        <f t="shared" si="37"/>
        <v>914882.92636693327</v>
      </c>
      <c r="AU4" s="68">
        <f t="shared" si="38"/>
        <v>799050.54796320002</v>
      </c>
      <c r="AV4" s="68">
        <f t="shared" si="39"/>
        <v>1233425.0682554666</v>
      </c>
      <c r="AW4" s="68">
        <f t="shared" si="40"/>
        <v>1732605.3586330665</v>
      </c>
      <c r="AX4" s="68">
        <f>'5.1.1 Nakłady B+R'!B6*1000</f>
        <v>393804.00000000006</v>
      </c>
      <c r="AY4" s="68">
        <f t="shared" si="41"/>
        <v>134090.26200000002</v>
      </c>
      <c r="AZ4" s="68">
        <f t="shared" si="42"/>
        <v>11105.272800000001</v>
      </c>
      <c r="BA4" s="68">
        <f t="shared" si="43"/>
        <v>38159.607600000003</v>
      </c>
      <c r="BB4" s="68">
        <f t="shared" si="44"/>
        <v>84825.381600000008</v>
      </c>
      <c r="BC4" s="68">
        <f t="shared" si="45"/>
        <v>259713.73800000004</v>
      </c>
      <c r="BD4" s="68">
        <f>'5.1.1 Nakłady B+R'!C6*1000</f>
        <v>382777.48800000001</v>
      </c>
      <c r="BE4" s="68">
        <f t="shared" si="46"/>
        <v>130335.73466399999</v>
      </c>
      <c r="BF4" s="68">
        <f t="shared" si="47"/>
        <v>10794.3251616</v>
      </c>
      <c r="BG4" s="68">
        <f t="shared" si="48"/>
        <v>37091.138587200003</v>
      </c>
      <c r="BH4" s="68">
        <f t="shared" si="49"/>
        <v>82450.270915199988</v>
      </c>
      <c r="BI4" s="68">
        <f t="shared" ref="BI4:BI18" si="56">BD4*65.95%</f>
        <v>252441.75333599999</v>
      </c>
      <c r="BJ4" s="68">
        <f t="shared" si="50"/>
        <v>12082687.241046665</v>
      </c>
      <c r="BK4" s="68">
        <f t="shared" si="51"/>
        <v>7498732.0911279991</v>
      </c>
      <c r="BL4" s="68">
        <f t="shared" si="52"/>
        <v>2298001.6410789331</v>
      </c>
      <c r="BM4" s="68">
        <f t="shared" si="53"/>
        <v>2034717.5084952</v>
      </c>
      <c r="BN4" s="68">
        <f t="shared" si="54"/>
        <v>3166012.9415538665</v>
      </c>
      <c r="BO4" s="128">
        <f t="shared" si="55"/>
        <v>4583955.1499186661</v>
      </c>
    </row>
    <row r="5" spans="1:67" x14ac:dyDescent="0.3">
      <c r="A5" s="126" t="s">
        <v>4</v>
      </c>
      <c r="B5" s="68">
        <f>Tabela5[[#This Row],[MŚP]]+Tabela5[[#This Row],[Duże]]</f>
        <v>6696027</v>
      </c>
      <c r="C5" s="68">
        <f t="shared" si="0"/>
        <v>2906131</v>
      </c>
      <c r="D5" s="68">
        <v>1096828</v>
      </c>
      <c r="E5" s="68">
        <v>704089</v>
      </c>
      <c r="F5" s="68">
        <v>1105214</v>
      </c>
      <c r="G5" s="68">
        <v>3789896</v>
      </c>
      <c r="H5" s="68">
        <f t="shared" si="1"/>
        <v>4464018</v>
      </c>
      <c r="I5" s="68">
        <f t="shared" si="2"/>
        <v>1937420.6666666665</v>
      </c>
      <c r="J5" s="68">
        <f t="shared" si="3"/>
        <v>731218.66666666663</v>
      </c>
      <c r="K5" s="68">
        <f t="shared" si="4"/>
        <v>469392.66666666669</v>
      </c>
      <c r="L5" s="68">
        <f t="shared" si="5"/>
        <v>736809.33333333337</v>
      </c>
      <c r="M5" s="68">
        <f t="shared" si="6"/>
        <v>2526597.3333333335</v>
      </c>
      <c r="N5" s="68">
        <v>287090.5</v>
      </c>
      <c r="O5" s="68">
        <f t="shared" si="7"/>
        <v>95314.046000000002</v>
      </c>
      <c r="P5" s="68">
        <f t="shared" si="8"/>
        <v>7464.353000000001</v>
      </c>
      <c r="Q5" s="68">
        <f t="shared" si="9"/>
        <v>28421.959500000001</v>
      </c>
      <c r="R5" s="68">
        <f t="shared" si="10"/>
        <v>59427.733499999995</v>
      </c>
      <c r="S5" s="68">
        <f t="shared" si="11"/>
        <v>191776.45399999997</v>
      </c>
      <c r="T5" s="68">
        <f t="shared" si="12"/>
        <v>11447135.5</v>
      </c>
      <c r="U5" s="68">
        <f t="shared" si="13"/>
        <v>4938865.7126666661</v>
      </c>
      <c r="V5" s="68">
        <f t="shared" si="14"/>
        <v>1835511.0196666664</v>
      </c>
      <c r="W5" s="68">
        <f t="shared" si="15"/>
        <v>1201903.6261666669</v>
      </c>
      <c r="X5" s="68">
        <f t="shared" si="16"/>
        <v>1901451.0668333336</v>
      </c>
      <c r="Y5" s="68">
        <f t="shared" si="17"/>
        <v>6508269.7873333339</v>
      </c>
      <c r="Z5" s="127">
        <v>1</v>
      </c>
      <c r="AA5" s="127">
        <f t="shared" si="18"/>
        <v>0.43144992148181227</v>
      </c>
      <c r="AB5" s="127">
        <f t="shared" si="19"/>
        <v>0.16034675396885678</v>
      </c>
      <c r="AC5" s="127">
        <f t="shared" si="20"/>
        <v>0.10499601635419331</v>
      </c>
      <c r="AD5" s="127">
        <f t="shared" si="21"/>
        <v>0.16610715115876226</v>
      </c>
      <c r="AE5" s="127">
        <f t="shared" si="22"/>
        <v>0.56855007851818773</v>
      </c>
      <c r="AF5" s="68">
        <f t="shared" si="23"/>
        <v>7137964.7819999997</v>
      </c>
      <c r="AG5" s="68">
        <f t="shared" si="24"/>
        <v>3097935.6459999997</v>
      </c>
      <c r="AH5" s="68">
        <f t="shared" si="25"/>
        <v>1169218.6479999998</v>
      </c>
      <c r="AI5" s="68">
        <f t="shared" si="26"/>
        <v>750558.87399999984</v>
      </c>
      <c r="AJ5" s="68">
        <f t="shared" si="27"/>
        <v>1178158.1239999998</v>
      </c>
      <c r="AK5" s="68">
        <f t="shared" si="28"/>
        <v>4040029.1359999995</v>
      </c>
      <c r="AL5" s="68">
        <f t="shared" si="29"/>
        <v>7329262.2381576002</v>
      </c>
      <c r="AM5" s="68">
        <f t="shared" si="30"/>
        <v>3180960.3213128</v>
      </c>
      <c r="AN5" s="68">
        <f t="shared" si="31"/>
        <v>1200553.7077664</v>
      </c>
      <c r="AO5" s="68">
        <f t="shared" si="32"/>
        <v>770673.85182320001</v>
      </c>
      <c r="AP5" s="68">
        <f t="shared" si="33"/>
        <v>1209732.7617232001</v>
      </c>
      <c r="AQ5" s="68">
        <f t="shared" si="34"/>
        <v>4148301.9168448001</v>
      </c>
      <c r="AR5" s="68">
        <f t="shared" si="35"/>
        <v>4886174.8254383998</v>
      </c>
      <c r="AS5" s="68">
        <f t="shared" si="36"/>
        <v>2120640.2142085331</v>
      </c>
      <c r="AT5" s="68">
        <f t="shared" si="37"/>
        <v>800369.13851093326</v>
      </c>
      <c r="AU5" s="68">
        <f t="shared" si="38"/>
        <v>513782.56788213336</v>
      </c>
      <c r="AV5" s="68">
        <f t="shared" si="39"/>
        <v>806488.50781546673</v>
      </c>
      <c r="AW5" s="68">
        <f t="shared" si="40"/>
        <v>2765534.6112298667</v>
      </c>
      <c r="AX5" s="68">
        <f>'5.1.1 Nakłady B+R'!B7*1000</f>
        <v>344212</v>
      </c>
      <c r="AY5" s="68">
        <f t="shared" si="41"/>
        <v>117204.18599999999</v>
      </c>
      <c r="AZ5" s="68">
        <f t="shared" si="42"/>
        <v>9706.7783999999992</v>
      </c>
      <c r="BA5" s="68">
        <f t="shared" si="43"/>
        <v>33354.142800000001</v>
      </c>
      <c r="BB5" s="68">
        <f t="shared" si="44"/>
        <v>74143.26479999999</v>
      </c>
      <c r="BC5" s="68">
        <f t="shared" si="45"/>
        <v>227007.81399999998</v>
      </c>
      <c r="BD5" s="68">
        <f>'5.1.1 Nakłady B+R'!C7*1000</f>
        <v>334574.06400000001</v>
      </c>
      <c r="BE5" s="68">
        <f t="shared" si="46"/>
        <v>113922.468792</v>
      </c>
      <c r="BF5" s="68">
        <f t="shared" si="47"/>
        <v>9434.9886048000008</v>
      </c>
      <c r="BG5" s="68">
        <f t="shared" si="48"/>
        <v>32420.226801600002</v>
      </c>
      <c r="BH5" s="68">
        <f t="shared" si="49"/>
        <v>72067.253385599994</v>
      </c>
      <c r="BI5" s="68">
        <f t="shared" si="56"/>
        <v>220651.59520800001</v>
      </c>
      <c r="BJ5" s="68">
        <f t="shared" si="50"/>
        <v>12550011.127596</v>
      </c>
      <c r="BK5" s="68">
        <f t="shared" si="51"/>
        <v>5415523.004313333</v>
      </c>
      <c r="BL5" s="68">
        <f t="shared" si="52"/>
        <v>2010357.8348821332</v>
      </c>
      <c r="BM5" s="68">
        <f t="shared" si="53"/>
        <v>1316876.6465069335</v>
      </c>
      <c r="BN5" s="68">
        <f t="shared" si="54"/>
        <v>2088288.5229242668</v>
      </c>
      <c r="BO5" s="128">
        <f t="shared" si="55"/>
        <v>7134488.1232826672</v>
      </c>
    </row>
    <row r="6" spans="1:67" x14ac:dyDescent="0.3">
      <c r="A6" s="126" t="s">
        <v>5</v>
      </c>
      <c r="B6" s="68">
        <f>Tabela5[[#This Row],[MŚP]]+Tabela5[[#This Row],[Duże]]</f>
        <v>3208928</v>
      </c>
      <c r="C6" s="68">
        <f t="shared" si="0"/>
        <v>1914496</v>
      </c>
      <c r="D6" s="68">
        <v>516979</v>
      </c>
      <c r="E6" s="68">
        <v>419505</v>
      </c>
      <c r="F6" s="68">
        <v>978012</v>
      </c>
      <c r="G6" s="68">
        <v>1294432</v>
      </c>
      <c r="H6" s="68">
        <f t="shared" si="1"/>
        <v>2139285.3333333335</v>
      </c>
      <c r="I6" s="68">
        <f t="shared" si="2"/>
        <v>1276330.6666666667</v>
      </c>
      <c r="J6" s="68">
        <f t="shared" si="3"/>
        <v>344652.66666666669</v>
      </c>
      <c r="K6" s="68">
        <f t="shared" si="4"/>
        <v>279670</v>
      </c>
      <c r="L6" s="68">
        <f t="shared" si="5"/>
        <v>652008</v>
      </c>
      <c r="M6" s="68">
        <f t="shared" si="6"/>
        <v>862954.66666666663</v>
      </c>
      <c r="N6" s="68">
        <v>170185.8</v>
      </c>
      <c r="O6" s="68">
        <f t="shared" si="7"/>
        <v>56501.685599999997</v>
      </c>
      <c r="P6" s="68">
        <f>N6*2.6%</f>
        <v>4424.8307999999997</v>
      </c>
      <c r="Q6" s="68">
        <f>N6*9.9%</f>
        <v>16848.394199999999</v>
      </c>
      <c r="R6" s="68">
        <f t="shared" si="10"/>
        <v>35228.460599999999</v>
      </c>
      <c r="S6" s="68">
        <f t="shared" si="11"/>
        <v>113684.11439999998</v>
      </c>
      <c r="T6" s="68">
        <f t="shared" si="12"/>
        <v>5518399.1333333328</v>
      </c>
      <c r="U6" s="68">
        <f t="shared" si="13"/>
        <v>3247328.3522666665</v>
      </c>
      <c r="V6" s="68">
        <f t="shared" si="14"/>
        <v>866056.49746666674</v>
      </c>
      <c r="W6" s="68">
        <f t="shared" si="15"/>
        <v>716023.39419999998</v>
      </c>
      <c r="X6" s="68">
        <f t="shared" si="16"/>
        <v>1665248.4606000001</v>
      </c>
      <c r="Y6" s="68">
        <f t="shared" si="17"/>
        <v>2271070.7810666664</v>
      </c>
      <c r="Z6" s="127">
        <v>1</v>
      </c>
      <c r="AA6" s="127">
        <f t="shared" si="18"/>
        <v>0.58845478078080782</v>
      </c>
      <c r="AB6" s="127">
        <f t="shared" si="19"/>
        <v>0.15693980745889508</v>
      </c>
      <c r="AC6" s="127">
        <f t="shared" si="20"/>
        <v>0.12975201265797048</v>
      </c>
      <c r="AD6" s="127">
        <f t="shared" si="21"/>
        <v>0.30176296066394237</v>
      </c>
      <c r="AE6" s="127">
        <f t="shared" si="22"/>
        <v>0.41154521921919213</v>
      </c>
      <c r="AF6" s="68">
        <f t="shared" si="23"/>
        <v>3420717.2479999997</v>
      </c>
      <c r="AG6" s="68">
        <f t="shared" si="24"/>
        <v>2040852.7359999996</v>
      </c>
      <c r="AH6" s="68">
        <f t="shared" si="25"/>
        <v>551099.61399999994</v>
      </c>
      <c r="AI6" s="68">
        <f t="shared" si="26"/>
        <v>447192.32999999996</v>
      </c>
      <c r="AJ6" s="68">
        <f t="shared" si="27"/>
        <v>1042560.7919999998</v>
      </c>
      <c r="AK6" s="68">
        <f t="shared" si="28"/>
        <v>1379864.5119999999</v>
      </c>
      <c r="AL6" s="68">
        <f t="shared" si="29"/>
        <v>3512392.4702464002</v>
      </c>
      <c r="AM6" s="68">
        <f t="shared" si="30"/>
        <v>2095547.5893248001</v>
      </c>
      <c r="AN6" s="68">
        <f t="shared" si="31"/>
        <v>565869.08365520008</v>
      </c>
      <c r="AO6" s="68">
        <f t="shared" si="32"/>
        <v>459177.08444400004</v>
      </c>
      <c r="AP6" s="68">
        <f t="shared" si="33"/>
        <v>1070501.4212255999</v>
      </c>
      <c r="AQ6" s="68">
        <f t="shared" si="34"/>
        <v>1416844.8809216002</v>
      </c>
      <c r="AR6" s="68">
        <f t="shared" si="35"/>
        <v>2341594.9801642667</v>
      </c>
      <c r="AS6" s="68">
        <f t="shared" si="36"/>
        <v>1397031.7262165332</v>
      </c>
      <c r="AT6" s="68">
        <f t="shared" si="37"/>
        <v>377246.05577013339</v>
      </c>
      <c r="AU6" s="68">
        <f t="shared" si="38"/>
        <v>306118.05629600002</v>
      </c>
      <c r="AV6" s="68">
        <f t="shared" si="39"/>
        <v>713667.61415039992</v>
      </c>
      <c r="AW6" s="68">
        <f t="shared" si="40"/>
        <v>944563.25394773344</v>
      </c>
      <c r="AX6" s="68">
        <f>'5.1.1 Nakłady B+R'!B8*1000</f>
        <v>196284</v>
      </c>
      <c r="AY6" s="68">
        <f t="shared" si="41"/>
        <v>66834.70199999999</v>
      </c>
      <c r="AZ6" s="68">
        <f t="shared" si="42"/>
        <v>5535.2087999999994</v>
      </c>
      <c r="BA6" s="68">
        <f t="shared" si="43"/>
        <v>19019.919600000001</v>
      </c>
      <c r="BB6" s="68">
        <f t="shared" si="44"/>
        <v>42279.573599999996</v>
      </c>
      <c r="BC6" s="68">
        <f t="shared" si="45"/>
        <v>129449.298</v>
      </c>
      <c r="BD6" s="68">
        <f>'5.1.1 Nakłady B+R'!C8*1000</f>
        <v>190788.04799999998</v>
      </c>
      <c r="BE6" s="68">
        <f t="shared" si="46"/>
        <v>64963.330343999987</v>
      </c>
      <c r="BF6" s="68">
        <f t="shared" si="47"/>
        <v>5380.2229535999995</v>
      </c>
      <c r="BG6" s="68">
        <f t="shared" si="48"/>
        <v>18487.361851199999</v>
      </c>
      <c r="BH6" s="68">
        <f t="shared" si="49"/>
        <v>41095.74553919999</v>
      </c>
      <c r="BI6" s="68">
        <f t="shared" si="56"/>
        <v>125824.71765599998</v>
      </c>
      <c r="BJ6" s="68">
        <f t="shared" si="50"/>
        <v>6044775.4984106673</v>
      </c>
      <c r="BK6" s="68">
        <f t="shared" si="51"/>
        <v>3557542.6458853334</v>
      </c>
      <c r="BL6" s="68">
        <f t="shared" si="52"/>
        <v>948495.36237893347</v>
      </c>
      <c r="BM6" s="68">
        <f t="shared" si="53"/>
        <v>783782.50259120006</v>
      </c>
      <c r="BN6" s="68">
        <f t="shared" si="54"/>
        <v>1825264.7809151998</v>
      </c>
      <c r="BO6" s="128">
        <f t="shared" si="55"/>
        <v>2487232.8525253339</v>
      </c>
    </row>
    <row r="7" spans="1:67" x14ac:dyDescent="0.3">
      <c r="A7" s="126" t="s">
        <v>6</v>
      </c>
      <c r="B7" s="68">
        <f>Tabela5[[#This Row],[MŚP]]+Tabela5[[#This Row],[Duże]]</f>
        <v>13529002</v>
      </c>
      <c r="C7" s="68">
        <f t="shared" si="0"/>
        <v>4481575</v>
      </c>
      <c r="D7" s="68">
        <v>1454436</v>
      </c>
      <c r="E7" s="68">
        <v>999451</v>
      </c>
      <c r="F7" s="68">
        <v>2027688</v>
      </c>
      <c r="G7" s="68">
        <v>9047427</v>
      </c>
      <c r="H7" s="68">
        <f t="shared" si="1"/>
        <v>9019334.666666666</v>
      </c>
      <c r="I7" s="68">
        <f t="shared" si="2"/>
        <v>2987716.6666666665</v>
      </c>
      <c r="J7" s="68">
        <f t="shared" si="3"/>
        <v>969624</v>
      </c>
      <c r="K7" s="68">
        <f t="shared" si="4"/>
        <v>666300.66666666663</v>
      </c>
      <c r="L7" s="68">
        <f t="shared" si="5"/>
        <v>1351792</v>
      </c>
      <c r="M7" s="68">
        <f t="shared" si="6"/>
        <v>6031618</v>
      </c>
      <c r="N7" s="68">
        <v>611628.19999999995</v>
      </c>
      <c r="O7" s="68">
        <f t="shared" si="7"/>
        <v>203060.5624</v>
      </c>
      <c r="P7" s="68">
        <f t="shared" si="8"/>
        <v>15902.333200000001</v>
      </c>
      <c r="Q7" s="68">
        <f t="shared" si="9"/>
        <v>60551.191800000001</v>
      </c>
      <c r="R7" s="68">
        <f t="shared" si="10"/>
        <v>126607.03739999999</v>
      </c>
      <c r="S7" s="68">
        <f t="shared" si="11"/>
        <v>408567.6375999999</v>
      </c>
      <c r="T7" s="68">
        <f t="shared" si="12"/>
        <v>23159964.866666667</v>
      </c>
      <c r="U7" s="68">
        <f t="shared" si="13"/>
        <v>7672352.2290666662</v>
      </c>
      <c r="V7" s="68">
        <f t="shared" si="14"/>
        <v>2439962.3332000002</v>
      </c>
      <c r="W7" s="68">
        <f t="shared" si="15"/>
        <v>1726302.8584666664</v>
      </c>
      <c r="X7" s="68">
        <f t="shared" si="16"/>
        <v>3506087.0373999998</v>
      </c>
      <c r="Y7" s="68">
        <f t="shared" si="17"/>
        <v>15487612.637599999</v>
      </c>
      <c r="Z7" s="127">
        <v>1</v>
      </c>
      <c r="AA7" s="127">
        <f t="shared" si="18"/>
        <v>0.33127650552308119</v>
      </c>
      <c r="AB7" s="127">
        <f t="shared" si="19"/>
        <v>0.1053525921670008</v>
      </c>
      <c r="AC7" s="127">
        <f t="shared" si="20"/>
        <v>7.4538233041591268E-2</v>
      </c>
      <c r="AD7" s="127">
        <f t="shared" si="21"/>
        <v>0.15138568031448912</v>
      </c>
      <c r="AE7" s="127">
        <f t="shared" si="22"/>
        <v>0.6687234944769187</v>
      </c>
      <c r="AF7" s="68">
        <f t="shared" si="23"/>
        <v>14421916.131999997</v>
      </c>
      <c r="AG7" s="68">
        <f t="shared" si="24"/>
        <v>4777358.9499999993</v>
      </c>
      <c r="AH7" s="68">
        <f t="shared" si="25"/>
        <v>1550428.7759999998</v>
      </c>
      <c r="AI7" s="68">
        <f t="shared" si="26"/>
        <v>1065414.7659999998</v>
      </c>
      <c r="AJ7" s="68">
        <f t="shared" si="27"/>
        <v>2161515.4079999998</v>
      </c>
      <c r="AK7" s="68">
        <f t="shared" si="28"/>
        <v>9644557.1819999982</v>
      </c>
      <c r="AL7" s="68">
        <f t="shared" si="29"/>
        <v>14808423.4843376</v>
      </c>
      <c r="AM7" s="68">
        <f t="shared" si="30"/>
        <v>4905392.1698599998</v>
      </c>
      <c r="AN7" s="68">
        <f t="shared" si="31"/>
        <v>1591980.2671968001</v>
      </c>
      <c r="AO7" s="68">
        <f t="shared" si="32"/>
        <v>1093967.8817288</v>
      </c>
      <c r="AP7" s="68">
        <f t="shared" si="33"/>
        <v>2219444.0209344001</v>
      </c>
      <c r="AQ7" s="68">
        <f t="shared" si="34"/>
        <v>9903031.3144776002</v>
      </c>
      <c r="AR7" s="68">
        <f t="shared" si="35"/>
        <v>9872282.3228917327</v>
      </c>
      <c r="AS7" s="68">
        <f t="shared" si="36"/>
        <v>3270261.4465733333</v>
      </c>
      <c r="AT7" s="68">
        <f t="shared" si="37"/>
        <v>1061320.1781312001</v>
      </c>
      <c r="AU7" s="68">
        <f t="shared" si="38"/>
        <v>729311.92115253338</v>
      </c>
      <c r="AV7" s="68">
        <f t="shared" si="39"/>
        <v>1479629.3472895999</v>
      </c>
      <c r="AW7" s="68">
        <f t="shared" si="40"/>
        <v>6602020.8763183998</v>
      </c>
      <c r="AX7" s="68">
        <f>'5.1.1 Nakłady B+R'!B9*1000</f>
        <v>552340</v>
      </c>
      <c r="AY7" s="68">
        <f t="shared" si="41"/>
        <v>188071.77</v>
      </c>
      <c r="AZ7" s="68">
        <f t="shared" si="42"/>
        <v>15575.987999999999</v>
      </c>
      <c r="BA7" s="68">
        <f t="shared" si="43"/>
        <v>53521.745999999999</v>
      </c>
      <c r="BB7" s="68">
        <f t="shared" si="44"/>
        <v>118974.03599999999</v>
      </c>
      <c r="BC7" s="68">
        <f t="shared" si="45"/>
        <v>364268.23</v>
      </c>
      <c r="BD7" s="68">
        <f>'5.1.1 Nakłady B+R'!C9*1000</f>
        <v>536874.48</v>
      </c>
      <c r="BE7" s="68">
        <f t="shared" si="46"/>
        <v>182805.76043999998</v>
      </c>
      <c r="BF7" s="68">
        <f t="shared" si="47"/>
        <v>15139.860336</v>
      </c>
      <c r="BG7" s="68">
        <f t="shared" si="48"/>
        <v>52023.137111999997</v>
      </c>
      <c r="BH7" s="68">
        <f t="shared" si="49"/>
        <v>115642.76299199999</v>
      </c>
      <c r="BI7" s="68">
        <f t="shared" si="56"/>
        <v>354068.71956</v>
      </c>
      <c r="BJ7" s="68">
        <f t="shared" si="50"/>
        <v>25217580.287229333</v>
      </c>
      <c r="BK7" s="68">
        <f t="shared" si="51"/>
        <v>8358459.3768733339</v>
      </c>
      <c r="BL7" s="68">
        <f t="shared" si="52"/>
        <v>2668440.3056640001</v>
      </c>
      <c r="BM7" s="68">
        <f t="shared" si="53"/>
        <v>1875302.9399933335</v>
      </c>
      <c r="BN7" s="68">
        <f t="shared" si="54"/>
        <v>3814716.1312159998</v>
      </c>
      <c r="BO7" s="128">
        <f t="shared" si="55"/>
        <v>16859120.910356</v>
      </c>
    </row>
    <row r="8" spans="1:67" x14ac:dyDescent="0.3">
      <c r="A8" s="126" t="s">
        <v>7</v>
      </c>
      <c r="B8" s="68">
        <f>Tabela5[[#This Row],[MŚP]]+Tabela5[[#This Row],[Duże]]</f>
        <v>14708203</v>
      </c>
      <c r="C8" s="68">
        <f t="shared" si="0"/>
        <v>7456544</v>
      </c>
      <c r="D8" s="68">
        <v>3060950</v>
      </c>
      <c r="E8" s="68">
        <v>1412309</v>
      </c>
      <c r="F8" s="68">
        <v>2983285</v>
      </c>
      <c r="G8" s="68">
        <v>7251659</v>
      </c>
      <c r="H8" s="68">
        <f t="shared" si="1"/>
        <v>9805468.666666666</v>
      </c>
      <c r="I8" s="68">
        <f t="shared" si="2"/>
        <v>4971029.333333333</v>
      </c>
      <c r="J8" s="68">
        <f t="shared" si="3"/>
        <v>2040633.3333333333</v>
      </c>
      <c r="K8" s="68">
        <f t="shared" si="4"/>
        <v>941539.33333333337</v>
      </c>
      <c r="L8" s="68">
        <f t="shared" si="5"/>
        <v>1988856.6666666667</v>
      </c>
      <c r="M8" s="68">
        <f t="shared" si="6"/>
        <v>4834439.333333333</v>
      </c>
      <c r="N8" s="68">
        <v>2427350.6</v>
      </c>
      <c r="O8" s="68">
        <f t="shared" si="7"/>
        <v>805880.39919999999</v>
      </c>
      <c r="P8" s="68">
        <f t="shared" si="8"/>
        <v>63111.115600000005</v>
      </c>
      <c r="Q8" s="68">
        <f t="shared" si="9"/>
        <v>240307.70940000002</v>
      </c>
      <c r="R8" s="68">
        <f t="shared" si="10"/>
        <v>502461.57419999997</v>
      </c>
      <c r="S8" s="68">
        <f t="shared" si="11"/>
        <v>1621470.2008</v>
      </c>
      <c r="T8" s="68">
        <f t="shared" si="12"/>
        <v>26941022.266666666</v>
      </c>
      <c r="U8" s="68">
        <f t="shared" si="13"/>
        <v>13233453.732533334</v>
      </c>
      <c r="V8" s="68">
        <f t="shared" si="14"/>
        <v>5164694.4489333332</v>
      </c>
      <c r="W8" s="68">
        <f t="shared" si="15"/>
        <v>2594156.0427333335</v>
      </c>
      <c r="X8" s="68">
        <f t="shared" si="16"/>
        <v>5474603.2408666667</v>
      </c>
      <c r="Y8" s="68">
        <f t="shared" si="17"/>
        <v>13707568.534133332</v>
      </c>
      <c r="Z8" s="127">
        <v>1</v>
      </c>
      <c r="AA8" s="127">
        <f t="shared" si="18"/>
        <v>0.49120087580740013</v>
      </c>
      <c r="AB8" s="127">
        <f t="shared" si="19"/>
        <v>0.19170372964367643</v>
      </c>
      <c r="AC8" s="127">
        <f t="shared" si="20"/>
        <v>9.6290185912618703E-2</v>
      </c>
      <c r="AD8" s="127">
        <f t="shared" si="21"/>
        <v>0.20320696025110496</v>
      </c>
      <c r="AE8" s="127">
        <f t="shared" si="22"/>
        <v>0.50879912419259987</v>
      </c>
      <c r="AF8" s="68">
        <f t="shared" si="23"/>
        <v>15678944.397999998</v>
      </c>
      <c r="AG8" s="68">
        <f t="shared" si="24"/>
        <v>7948675.9039999992</v>
      </c>
      <c r="AH8" s="68">
        <f t="shared" si="25"/>
        <v>3262972.6999999997</v>
      </c>
      <c r="AI8" s="68">
        <f t="shared" si="26"/>
        <v>1505521.3939999999</v>
      </c>
      <c r="AJ8" s="68">
        <f t="shared" si="27"/>
        <v>3180181.8099999996</v>
      </c>
      <c r="AK8" s="68">
        <f t="shared" si="28"/>
        <v>7730268.493999999</v>
      </c>
      <c r="AL8" s="68">
        <f t="shared" si="29"/>
        <v>16099140.107866401</v>
      </c>
      <c r="AM8" s="68">
        <f t="shared" si="30"/>
        <v>8161700.4182272004</v>
      </c>
      <c r="AN8" s="68">
        <f t="shared" si="31"/>
        <v>3350420.3683600002</v>
      </c>
      <c r="AO8" s="68">
        <f t="shared" si="32"/>
        <v>1545869.3673592</v>
      </c>
      <c r="AP8" s="68">
        <f t="shared" si="33"/>
        <v>3265410.6825080002</v>
      </c>
      <c r="AQ8" s="68">
        <f t="shared" si="34"/>
        <v>7937439.6896392005</v>
      </c>
      <c r="AR8" s="68">
        <f t="shared" si="35"/>
        <v>10732760.071910933</v>
      </c>
      <c r="AS8" s="68">
        <f t="shared" si="36"/>
        <v>5441133.6121514663</v>
      </c>
      <c r="AT8" s="68">
        <f t="shared" si="37"/>
        <v>2233613.578906667</v>
      </c>
      <c r="AU8" s="68">
        <f t="shared" si="38"/>
        <v>1030579.5782394668</v>
      </c>
      <c r="AV8" s="68">
        <f t="shared" si="39"/>
        <v>2176940.4550053333</v>
      </c>
      <c r="AW8" s="68">
        <f t="shared" si="40"/>
        <v>5291626.4597594673</v>
      </c>
      <c r="AX8" s="68">
        <f>'5.1.1 Nakłady B+R'!B10*1000</f>
        <v>742880</v>
      </c>
      <c r="AY8" s="68">
        <f t="shared" si="41"/>
        <v>252950.63999999998</v>
      </c>
      <c r="AZ8" s="68">
        <f t="shared" si="42"/>
        <v>20949.216</v>
      </c>
      <c r="BA8" s="68">
        <f t="shared" si="43"/>
        <v>71985.072</v>
      </c>
      <c r="BB8" s="68">
        <f t="shared" si="44"/>
        <v>160016.35199999998</v>
      </c>
      <c r="BC8" s="68">
        <f t="shared" si="45"/>
        <v>489929.36</v>
      </c>
      <c r="BD8" s="68">
        <f>'5.1.1 Nakłady B+R'!C10*1000</f>
        <v>722079.36</v>
      </c>
      <c r="BE8" s="68">
        <f t="shared" si="46"/>
        <v>245868.02208</v>
      </c>
      <c r="BF8" s="68">
        <f t="shared" si="47"/>
        <v>20362.637952000001</v>
      </c>
      <c r="BG8" s="68">
        <f t="shared" si="48"/>
        <v>69969.489984</v>
      </c>
      <c r="BH8" s="68">
        <f t="shared" si="49"/>
        <v>155535.89414399999</v>
      </c>
      <c r="BI8" s="68">
        <f t="shared" si="56"/>
        <v>476211.33791999996</v>
      </c>
      <c r="BJ8" s="68">
        <f t="shared" si="50"/>
        <v>27553979.539777335</v>
      </c>
      <c r="BK8" s="68">
        <f t="shared" si="51"/>
        <v>13848702.052458666</v>
      </c>
      <c r="BL8" s="68">
        <f t="shared" si="52"/>
        <v>5604396.5852186671</v>
      </c>
      <c r="BM8" s="68">
        <f t="shared" si="53"/>
        <v>2646418.4355826667</v>
      </c>
      <c r="BN8" s="68">
        <f t="shared" si="54"/>
        <v>5597887.0316573335</v>
      </c>
      <c r="BO8" s="128">
        <f t="shared" si="55"/>
        <v>13705277.487318669</v>
      </c>
    </row>
    <row r="9" spans="1:67" x14ac:dyDescent="0.3">
      <c r="A9" s="126" t="s">
        <v>8</v>
      </c>
      <c r="B9" s="68">
        <f>Tabela5[[#This Row],[MŚP]]+Tabela5[[#This Row],[Duże]]</f>
        <v>70844144</v>
      </c>
      <c r="C9" s="68">
        <f t="shared" si="0"/>
        <v>27178873</v>
      </c>
      <c r="D9" s="68">
        <v>12966768</v>
      </c>
      <c r="E9" s="68">
        <v>4317318</v>
      </c>
      <c r="F9" s="68">
        <v>9894787</v>
      </c>
      <c r="G9" s="68">
        <v>43665271</v>
      </c>
      <c r="H9" s="68">
        <f t="shared" si="1"/>
        <v>47229429.333333336</v>
      </c>
      <c r="I9" s="68">
        <f t="shared" si="2"/>
        <v>18119248.666666668</v>
      </c>
      <c r="J9" s="68">
        <f t="shared" si="3"/>
        <v>8644512</v>
      </c>
      <c r="K9" s="68">
        <f t="shared" si="4"/>
        <v>2878212</v>
      </c>
      <c r="L9" s="68">
        <f t="shared" si="5"/>
        <v>6596524.666666667</v>
      </c>
      <c r="M9" s="68">
        <f t="shared" si="6"/>
        <v>29110180.666666668</v>
      </c>
      <c r="N9" s="68">
        <v>6826997.7000000002</v>
      </c>
      <c r="O9" s="68">
        <f t="shared" si="7"/>
        <v>2266563.2363999998</v>
      </c>
      <c r="P9" s="68">
        <f t="shared" si="8"/>
        <v>177501.94020000001</v>
      </c>
      <c r="Q9" s="68">
        <f t="shared" si="9"/>
        <v>675872.77230000007</v>
      </c>
      <c r="R9" s="68">
        <f t="shared" si="10"/>
        <v>1413188.5238999999</v>
      </c>
      <c r="S9" s="68">
        <f t="shared" si="11"/>
        <v>4560434.4635999994</v>
      </c>
      <c r="T9" s="68">
        <f t="shared" si="12"/>
        <v>124900571.03333333</v>
      </c>
      <c r="U9" s="68">
        <f t="shared" si="13"/>
        <v>47564684.903066665</v>
      </c>
      <c r="V9" s="68">
        <f t="shared" si="14"/>
        <v>21788781.940200001</v>
      </c>
      <c r="W9" s="68">
        <f t="shared" si="15"/>
        <v>7871402.7723000003</v>
      </c>
      <c r="X9" s="68">
        <f t="shared" si="16"/>
        <v>17904500.190566666</v>
      </c>
      <c r="Y9" s="68">
        <f t="shared" si="17"/>
        <v>77335886.130266666</v>
      </c>
      <c r="Z9" s="127">
        <v>1</v>
      </c>
      <c r="AA9" s="127">
        <f t="shared" si="18"/>
        <v>0.38082039585209465</v>
      </c>
      <c r="AB9" s="127">
        <f t="shared" si="19"/>
        <v>0.17444901780621191</v>
      </c>
      <c r="AC9" s="127">
        <f t="shared" si="20"/>
        <v>6.302135136115021E-2</v>
      </c>
      <c r="AD9" s="127">
        <f t="shared" si="21"/>
        <v>0.14335002668473254</v>
      </c>
      <c r="AE9" s="127">
        <f t="shared" si="22"/>
        <v>0.6191796041479054</v>
      </c>
      <c r="AF9" s="68">
        <f t="shared" si="23"/>
        <v>75519857.503999978</v>
      </c>
      <c r="AG9" s="68">
        <f t="shared" si="24"/>
        <v>28972678.617999993</v>
      </c>
      <c r="AH9" s="68">
        <f t="shared" si="25"/>
        <v>13822574.687999997</v>
      </c>
      <c r="AI9" s="68">
        <f t="shared" si="26"/>
        <v>4602260.987999999</v>
      </c>
      <c r="AJ9" s="68">
        <f t="shared" si="27"/>
        <v>10547842.941999998</v>
      </c>
      <c r="AK9" s="68">
        <f t="shared" si="28"/>
        <v>46547178.885999992</v>
      </c>
      <c r="AL9" s="68">
        <f t="shared" si="29"/>
        <v>77543789.685107201</v>
      </c>
      <c r="AM9" s="68">
        <f t="shared" si="30"/>
        <v>29749146.404962398</v>
      </c>
      <c r="AN9" s="68">
        <f t="shared" si="31"/>
        <v>14193019.689638399</v>
      </c>
      <c r="AO9" s="68">
        <f t="shared" si="32"/>
        <v>4725601.5824783994</v>
      </c>
      <c r="AP9" s="68">
        <f t="shared" si="33"/>
        <v>10830525.132845599</v>
      </c>
      <c r="AQ9" s="68">
        <f t="shared" si="34"/>
        <v>47794643.280144803</v>
      </c>
      <c r="AR9" s="68">
        <f t="shared" si="35"/>
        <v>51695859.790071473</v>
      </c>
      <c r="AS9" s="68">
        <f t="shared" si="36"/>
        <v>19832764.269974932</v>
      </c>
      <c r="AT9" s="68">
        <f t="shared" si="37"/>
        <v>9462013.1264255997</v>
      </c>
      <c r="AU9" s="68">
        <f t="shared" si="38"/>
        <v>3150401.0549855996</v>
      </c>
      <c r="AV9" s="68">
        <f t="shared" si="39"/>
        <v>7220350.0885637319</v>
      </c>
      <c r="AW9" s="68">
        <f t="shared" si="40"/>
        <v>31863095.520096537</v>
      </c>
      <c r="AX9" s="68">
        <f>'5.1.1 Nakłady B+R'!B11*1000</f>
        <v>2090520</v>
      </c>
      <c r="AY9" s="68">
        <f t="shared" si="41"/>
        <v>711822.05999999994</v>
      </c>
      <c r="AZ9" s="68">
        <f t="shared" si="42"/>
        <v>58952.663999999997</v>
      </c>
      <c r="BA9" s="68">
        <f t="shared" si="43"/>
        <v>202571.38800000001</v>
      </c>
      <c r="BB9" s="68">
        <f t="shared" si="44"/>
        <v>450298.00799999997</v>
      </c>
      <c r="BC9" s="68">
        <f t="shared" si="45"/>
        <v>1378697.94</v>
      </c>
      <c r="BD9" s="68">
        <f>'5.1.1 Nakłady B+R'!C11*1000</f>
        <v>2031985.44</v>
      </c>
      <c r="BE9" s="68">
        <f t="shared" si="46"/>
        <v>691891.04232000001</v>
      </c>
      <c r="BF9" s="68">
        <f t="shared" si="47"/>
        <v>57301.989407999994</v>
      </c>
      <c r="BG9" s="68">
        <f t="shared" si="48"/>
        <v>196899.38913599998</v>
      </c>
      <c r="BH9" s="68">
        <f t="shared" si="49"/>
        <v>437689.66377599997</v>
      </c>
      <c r="BI9" s="68">
        <f t="shared" si="56"/>
        <v>1340094.3976799999</v>
      </c>
      <c r="BJ9" s="68">
        <f t="shared" si="50"/>
        <v>131271634.91517866</v>
      </c>
      <c r="BK9" s="68">
        <f t="shared" si="51"/>
        <v>50273801.717257328</v>
      </c>
      <c r="BL9" s="68">
        <f t="shared" si="52"/>
        <v>23712334.805471998</v>
      </c>
      <c r="BM9" s="68">
        <f t="shared" si="53"/>
        <v>8072902.0265999995</v>
      </c>
      <c r="BN9" s="68">
        <f t="shared" si="54"/>
        <v>18488564.885185331</v>
      </c>
      <c r="BO9" s="128">
        <f t="shared" si="55"/>
        <v>80997833.197921336</v>
      </c>
    </row>
    <row r="10" spans="1:67" x14ac:dyDescent="0.3">
      <c r="A10" s="126" t="s">
        <v>9</v>
      </c>
      <c r="B10" s="68">
        <f>Tabela5[[#This Row],[MŚP]]+Tabela5[[#This Row],[Duże]]</f>
        <v>3207296</v>
      </c>
      <c r="C10" s="68">
        <f t="shared" si="0"/>
        <v>2019834</v>
      </c>
      <c r="D10" s="68">
        <v>762175</v>
      </c>
      <c r="E10" s="68">
        <v>360443</v>
      </c>
      <c r="F10" s="68">
        <v>897216</v>
      </c>
      <c r="G10" s="68">
        <v>1187462</v>
      </c>
      <c r="H10" s="68">
        <f t="shared" si="1"/>
        <v>2138197.3333333335</v>
      </c>
      <c r="I10" s="68">
        <f t="shared" si="2"/>
        <v>1346556</v>
      </c>
      <c r="J10" s="68">
        <f t="shared" si="3"/>
        <v>508116.66666666669</v>
      </c>
      <c r="K10" s="68">
        <f t="shared" si="4"/>
        <v>240295.33333333334</v>
      </c>
      <c r="L10" s="68">
        <f t="shared" si="5"/>
        <v>598144</v>
      </c>
      <c r="M10" s="68">
        <f t="shared" si="6"/>
        <v>791641.33333333337</v>
      </c>
      <c r="N10" s="68">
        <v>204514.2</v>
      </c>
      <c r="O10" s="68">
        <f t="shared" si="7"/>
        <v>67898.714399999997</v>
      </c>
      <c r="P10" s="68">
        <f t="shared" si="8"/>
        <v>5317.369200000001</v>
      </c>
      <c r="Q10" s="68">
        <f t="shared" si="9"/>
        <v>20246.9058</v>
      </c>
      <c r="R10" s="68">
        <f t="shared" si="10"/>
        <v>42334.439400000003</v>
      </c>
      <c r="S10" s="68">
        <f t="shared" si="11"/>
        <v>136615.48559999999</v>
      </c>
      <c r="T10" s="68">
        <f t="shared" si="12"/>
        <v>5550007.5333333332</v>
      </c>
      <c r="U10" s="68">
        <f t="shared" si="13"/>
        <v>3434288.7143999999</v>
      </c>
      <c r="V10" s="68">
        <f t="shared" si="14"/>
        <v>1275609.0358666668</v>
      </c>
      <c r="W10" s="68">
        <f t="shared" si="15"/>
        <v>620985.23913333332</v>
      </c>
      <c r="X10" s="68">
        <f t="shared" si="16"/>
        <v>1537694.4394</v>
      </c>
      <c r="Y10" s="68">
        <f t="shared" si="17"/>
        <v>2115718.8189333333</v>
      </c>
      <c r="Z10" s="127">
        <v>1</v>
      </c>
      <c r="AA10" s="127">
        <f t="shared" si="18"/>
        <v>0.61878991943230155</v>
      </c>
      <c r="AB10" s="127">
        <f t="shared" si="19"/>
        <v>0.22983915394805535</v>
      </c>
      <c r="AC10" s="127">
        <f t="shared" si="20"/>
        <v>0.11188908040280979</v>
      </c>
      <c r="AD10" s="127">
        <f t="shared" si="21"/>
        <v>0.27706168508143647</v>
      </c>
      <c r="AE10" s="127">
        <f t="shared" si="22"/>
        <v>0.38121008056769845</v>
      </c>
      <c r="AF10" s="68">
        <f t="shared" si="23"/>
        <v>3418977.5359999994</v>
      </c>
      <c r="AG10" s="68">
        <f t="shared" si="24"/>
        <v>2153143.0439999998</v>
      </c>
      <c r="AH10" s="68">
        <f t="shared" si="25"/>
        <v>812478.54999999993</v>
      </c>
      <c r="AI10" s="68">
        <f t="shared" si="26"/>
        <v>384232.23799999995</v>
      </c>
      <c r="AJ10" s="68">
        <f t="shared" si="27"/>
        <v>956432.25599999982</v>
      </c>
      <c r="AK10" s="68">
        <f t="shared" si="28"/>
        <v>1265834.4919999999</v>
      </c>
      <c r="AL10" s="68">
        <f t="shared" si="29"/>
        <v>3510606.1339648003</v>
      </c>
      <c r="AM10" s="68">
        <f t="shared" si="30"/>
        <v>2210847.2775792</v>
      </c>
      <c r="AN10" s="68">
        <f t="shared" si="31"/>
        <v>834252.97514000011</v>
      </c>
      <c r="AO10" s="68">
        <f t="shared" si="32"/>
        <v>394529.66197840002</v>
      </c>
      <c r="AP10" s="68">
        <f t="shared" si="33"/>
        <v>982064.64046079991</v>
      </c>
      <c r="AQ10" s="68">
        <f t="shared" si="34"/>
        <v>1299758.8563856001</v>
      </c>
      <c r="AR10" s="68">
        <f t="shared" si="35"/>
        <v>2340404.089309867</v>
      </c>
      <c r="AS10" s="68">
        <f t="shared" si="36"/>
        <v>1473898.1850528002</v>
      </c>
      <c r="AT10" s="68">
        <f t="shared" si="37"/>
        <v>556168.65009333345</v>
      </c>
      <c r="AU10" s="68">
        <f t="shared" si="38"/>
        <v>263019.7746522667</v>
      </c>
      <c r="AV10" s="68">
        <f t="shared" si="39"/>
        <v>654709.76030720002</v>
      </c>
      <c r="AW10" s="68">
        <f t="shared" si="40"/>
        <v>866505.90425706666</v>
      </c>
      <c r="AX10" s="68">
        <f>'5.1.1 Nakłady B+R'!B12*1000</f>
        <v>185200.00000000003</v>
      </c>
      <c r="AY10" s="68">
        <f t="shared" si="41"/>
        <v>63060.600000000006</v>
      </c>
      <c r="AZ10" s="68">
        <f t="shared" si="42"/>
        <v>5222.6400000000003</v>
      </c>
      <c r="BA10" s="68">
        <f t="shared" si="43"/>
        <v>17945.88</v>
      </c>
      <c r="BB10" s="68">
        <f t="shared" si="44"/>
        <v>39892.080000000002</v>
      </c>
      <c r="BC10" s="68">
        <f t="shared" si="45"/>
        <v>122139.40000000001</v>
      </c>
      <c r="BD10" s="68">
        <f>'5.1.1 Nakłady B+R'!C12*1000</f>
        <v>180014.4</v>
      </c>
      <c r="BE10" s="68">
        <f t="shared" si="46"/>
        <v>61294.903200000001</v>
      </c>
      <c r="BF10" s="68">
        <f t="shared" si="47"/>
        <v>5076.4060799999997</v>
      </c>
      <c r="BG10" s="68">
        <f t="shared" si="48"/>
        <v>17443.395359999999</v>
      </c>
      <c r="BH10" s="68">
        <f t="shared" si="49"/>
        <v>38775.101759999998</v>
      </c>
      <c r="BI10" s="68">
        <f t="shared" si="56"/>
        <v>118719.49679999999</v>
      </c>
      <c r="BJ10" s="68">
        <f t="shared" si="50"/>
        <v>6031024.6232746672</v>
      </c>
      <c r="BK10" s="68">
        <f t="shared" si="51"/>
        <v>3746040.365832</v>
      </c>
      <c r="BL10" s="68">
        <f t="shared" si="52"/>
        <v>1395498.0313133337</v>
      </c>
      <c r="BM10" s="68">
        <f t="shared" si="53"/>
        <v>674992.83199066669</v>
      </c>
      <c r="BN10" s="68">
        <f t="shared" si="54"/>
        <v>1675549.5025279999</v>
      </c>
      <c r="BO10" s="128">
        <f t="shared" si="55"/>
        <v>2284984.2574426667</v>
      </c>
    </row>
    <row r="11" spans="1:67" x14ac:dyDescent="0.3">
      <c r="A11" s="126" t="s">
        <v>10</v>
      </c>
      <c r="B11" s="68">
        <f>Tabela5[[#This Row],[MŚP]]+Tabela5[[#This Row],[Duże]]</f>
        <v>6860485</v>
      </c>
      <c r="C11" s="68">
        <f t="shared" si="0"/>
        <v>3866657</v>
      </c>
      <c r="D11" s="68">
        <v>1196629</v>
      </c>
      <c r="E11" s="68">
        <v>953815</v>
      </c>
      <c r="F11" s="68">
        <v>1716213</v>
      </c>
      <c r="G11" s="68">
        <v>2993828</v>
      </c>
      <c r="H11" s="68">
        <f t="shared" si="1"/>
        <v>4573656.666666666</v>
      </c>
      <c r="I11" s="68">
        <f t="shared" si="2"/>
        <v>2577771.333333333</v>
      </c>
      <c r="J11" s="68">
        <f t="shared" si="3"/>
        <v>797752.66666666663</v>
      </c>
      <c r="K11" s="68">
        <f t="shared" si="4"/>
        <v>635876.66666666663</v>
      </c>
      <c r="L11" s="68">
        <f t="shared" si="5"/>
        <v>1144142</v>
      </c>
      <c r="M11" s="68">
        <f t="shared" si="6"/>
        <v>1995885.3333333333</v>
      </c>
      <c r="N11" s="68">
        <v>761492.9</v>
      </c>
      <c r="O11" s="68">
        <f t="shared" si="7"/>
        <v>252815.6428</v>
      </c>
      <c r="P11" s="68">
        <f t="shared" si="8"/>
        <v>19798.815400000003</v>
      </c>
      <c r="Q11" s="68">
        <f t="shared" si="9"/>
        <v>75387.797100000011</v>
      </c>
      <c r="R11" s="68">
        <f t="shared" si="10"/>
        <v>157629.03029999998</v>
      </c>
      <c r="S11" s="68">
        <f t="shared" si="11"/>
        <v>508677.25719999993</v>
      </c>
      <c r="T11" s="68">
        <f t="shared" si="12"/>
        <v>12195634.566666666</v>
      </c>
      <c r="U11" s="68">
        <f t="shared" si="13"/>
        <v>6697243.9761333326</v>
      </c>
      <c r="V11" s="68">
        <f t="shared" si="14"/>
        <v>2014180.4820666665</v>
      </c>
      <c r="W11" s="68">
        <f t="shared" si="15"/>
        <v>1665079.4637666666</v>
      </c>
      <c r="X11" s="68">
        <f t="shared" si="16"/>
        <v>3017984.0302999998</v>
      </c>
      <c r="Y11" s="68">
        <f t="shared" si="17"/>
        <v>5498390.5905333329</v>
      </c>
      <c r="Z11" s="127">
        <v>1</v>
      </c>
      <c r="AA11" s="127">
        <f t="shared" si="18"/>
        <v>0.54915092277677491</v>
      </c>
      <c r="AB11" s="127">
        <f t="shared" si="19"/>
        <v>0.16515585729108856</v>
      </c>
      <c r="AC11" s="127">
        <f t="shared" si="20"/>
        <v>0.13653077703047059</v>
      </c>
      <c r="AD11" s="127">
        <f t="shared" si="21"/>
        <v>0.24746428845521573</v>
      </c>
      <c r="AE11" s="127">
        <f t="shared" si="22"/>
        <v>0.45084907722322509</v>
      </c>
      <c r="AF11" s="68">
        <f t="shared" si="23"/>
        <v>7313277.0099999988</v>
      </c>
      <c r="AG11" s="68">
        <f t="shared" si="24"/>
        <v>4121856.3619999993</v>
      </c>
      <c r="AH11" s="68">
        <f t="shared" si="25"/>
        <v>1275606.5139999997</v>
      </c>
      <c r="AI11" s="68">
        <f t="shared" si="26"/>
        <v>1016766.7899999998</v>
      </c>
      <c r="AJ11" s="68">
        <f t="shared" si="27"/>
        <v>1829483.0579999997</v>
      </c>
      <c r="AK11" s="68">
        <f t="shared" si="28"/>
        <v>3191420.6479999996</v>
      </c>
      <c r="AL11" s="68">
        <f t="shared" si="29"/>
        <v>7509272.8338679997</v>
      </c>
      <c r="AM11" s="68">
        <f t="shared" si="30"/>
        <v>4232322.1125015998</v>
      </c>
      <c r="AN11" s="68">
        <f t="shared" si="31"/>
        <v>1309792.7685751999</v>
      </c>
      <c r="AO11" s="68">
        <f t="shared" si="32"/>
        <v>1044016.1399719999</v>
      </c>
      <c r="AP11" s="68">
        <f t="shared" si="33"/>
        <v>1878513.2039544</v>
      </c>
      <c r="AQ11" s="68">
        <f t="shared" si="34"/>
        <v>3276950.7213663999</v>
      </c>
      <c r="AR11" s="68">
        <f t="shared" si="35"/>
        <v>5006181.8892453332</v>
      </c>
      <c r="AS11" s="68">
        <f t="shared" si="36"/>
        <v>2821548.0750010666</v>
      </c>
      <c r="AT11" s="68">
        <f t="shared" si="37"/>
        <v>873195.17905013321</v>
      </c>
      <c r="AU11" s="68">
        <f t="shared" si="38"/>
        <v>696010.75998133316</v>
      </c>
      <c r="AV11" s="68">
        <f t="shared" si="39"/>
        <v>1252342.1359696002</v>
      </c>
      <c r="AW11" s="68">
        <f t="shared" si="40"/>
        <v>2184633.8142442666</v>
      </c>
      <c r="AX11" s="68">
        <f>'5.1.1 Nakłady B+R'!B13*1000</f>
        <v>356092</v>
      </c>
      <c r="AY11" s="68">
        <f t="shared" si="41"/>
        <v>121249.326</v>
      </c>
      <c r="AZ11" s="68">
        <f t="shared" si="42"/>
        <v>10041.794400000001</v>
      </c>
      <c r="BA11" s="68">
        <f t="shared" si="43"/>
        <v>34505.3148</v>
      </c>
      <c r="BB11" s="68">
        <f t="shared" si="44"/>
        <v>76702.216799999995</v>
      </c>
      <c r="BC11" s="68">
        <f t="shared" si="45"/>
        <v>234842.674</v>
      </c>
      <c r="BD11" s="68">
        <f>'5.1.1 Nakłady B+R'!C13*1000</f>
        <v>346121.424</v>
      </c>
      <c r="BE11" s="68">
        <f t="shared" si="46"/>
        <v>117854.34487199999</v>
      </c>
      <c r="BF11" s="68">
        <f t="shared" si="47"/>
        <v>9760.6241568000005</v>
      </c>
      <c r="BG11" s="68">
        <f t="shared" si="48"/>
        <v>33539.165985599997</v>
      </c>
      <c r="BH11" s="68">
        <f t="shared" si="49"/>
        <v>74554.554729599986</v>
      </c>
      <c r="BI11" s="68">
        <f t="shared" si="56"/>
        <v>228267.07912799998</v>
      </c>
      <c r="BJ11" s="68">
        <f t="shared" si="50"/>
        <v>12861576.147113334</v>
      </c>
      <c r="BK11" s="68">
        <f t="shared" si="51"/>
        <v>7171724.532374667</v>
      </c>
      <c r="BL11" s="68">
        <f t="shared" si="52"/>
        <v>2192748.5717821331</v>
      </c>
      <c r="BM11" s="68">
        <f t="shared" si="53"/>
        <v>1773566.0659389331</v>
      </c>
      <c r="BN11" s="68">
        <f t="shared" si="54"/>
        <v>3205409.8946536002</v>
      </c>
      <c r="BO11" s="128">
        <f t="shared" si="55"/>
        <v>5689851.6147386665</v>
      </c>
    </row>
    <row r="12" spans="1:67" x14ac:dyDescent="0.3">
      <c r="A12" s="126" t="s">
        <v>11</v>
      </c>
      <c r="B12" s="68">
        <f>Tabela5[[#This Row],[MŚP]]+Tabela5[[#This Row],[Duże]]</f>
        <v>3277808</v>
      </c>
      <c r="C12" s="68">
        <f t="shared" si="0"/>
        <v>1898236</v>
      </c>
      <c r="D12" s="68">
        <v>561964</v>
      </c>
      <c r="E12" s="68">
        <v>505408</v>
      </c>
      <c r="F12" s="68">
        <v>830864</v>
      </c>
      <c r="G12" s="68">
        <v>1379572</v>
      </c>
      <c r="H12" s="68">
        <f t="shared" si="1"/>
        <v>2185205.3333333335</v>
      </c>
      <c r="I12" s="68">
        <f t="shared" si="2"/>
        <v>1265490.6666666667</v>
      </c>
      <c r="J12" s="68">
        <f t="shared" si="3"/>
        <v>374642.66666666669</v>
      </c>
      <c r="K12" s="68">
        <f t="shared" si="4"/>
        <v>336938.66666666669</v>
      </c>
      <c r="L12" s="68">
        <f t="shared" si="5"/>
        <v>553909.33333333337</v>
      </c>
      <c r="M12" s="68">
        <f t="shared" si="6"/>
        <v>919714.66666666663</v>
      </c>
      <c r="N12" s="68">
        <v>132284.4</v>
      </c>
      <c r="O12" s="68">
        <f t="shared" si="7"/>
        <v>43918.420799999993</v>
      </c>
      <c r="P12" s="68">
        <f t="shared" si="8"/>
        <v>3439.3944000000001</v>
      </c>
      <c r="Q12" s="68">
        <f t="shared" si="9"/>
        <v>13096.1556</v>
      </c>
      <c r="R12" s="68">
        <f t="shared" si="10"/>
        <v>27382.870799999997</v>
      </c>
      <c r="S12" s="68">
        <f t="shared" si="11"/>
        <v>88365.979199999987</v>
      </c>
      <c r="T12" s="68">
        <f t="shared" si="12"/>
        <v>5595297.7333333334</v>
      </c>
      <c r="U12" s="68">
        <f t="shared" si="13"/>
        <v>3207645.0874666669</v>
      </c>
      <c r="V12" s="68">
        <f t="shared" si="14"/>
        <v>940046.06106666673</v>
      </c>
      <c r="W12" s="68">
        <f t="shared" si="15"/>
        <v>855442.8222666668</v>
      </c>
      <c r="X12" s="68">
        <f t="shared" si="16"/>
        <v>1412156.2041333334</v>
      </c>
      <c r="Y12" s="68">
        <f t="shared" si="17"/>
        <v>2387652.6458666665</v>
      </c>
      <c r="Z12" s="127">
        <v>1</v>
      </c>
      <c r="AA12" s="127">
        <f t="shared" si="18"/>
        <v>0.5732751392937494</v>
      </c>
      <c r="AB12" s="127">
        <f t="shared" si="19"/>
        <v>0.16800644145644869</v>
      </c>
      <c r="AC12" s="127">
        <f t="shared" si="20"/>
        <v>0.15288602377143687</v>
      </c>
      <c r="AD12" s="127">
        <f t="shared" si="21"/>
        <v>0.25238267406586384</v>
      </c>
      <c r="AE12" s="127">
        <f t="shared" si="22"/>
        <v>0.4267248607062506</v>
      </c>
      <c r="AF12" s="68">
        <f t="shared" si="23"/>
        <v>3494143.3279999997</v>
      </c>
      <c r="AG12" s="68">
        <f t="shared" si="24"/>
        <v>2023519.5759999999</v>
      </c>
      <c r="AH12" s="68">
        <f t="shared" si="25"/>
        <v>599053.62399999995</v>
      </c>
      <c r="AI12" s="68">
        <f t="shared" si="26"/>
        <v>538764.92799999996</v>
      </c>
      <c r="AJ12" s="68">
        <f t="shared" si="27"/>
        <v>885701.02399999986</v>
      </c>
      <c r="AK12" s="68">
        <f t="shared" si="28"/>
        <v>1470623.7519999999</v>
      </c>
      <c r="AL12" s="68">
        <f t="shared" si="29"/>
        <v>3587786.3691904005</v>
      </c>
      <c r="AM12" s="68">
        <f t="shared" si="30"/>
        <v>2077749.9006368001</v>
      </c>
      <c r="AN12" s="68">
        <f t="shared" si="31"/>
        <v>615108.26112320006</v>
      </c>
      <c r="AO12" s="68">
        <f t="shared" si="32"/>
        <v>553203.82807040005</v>
      </c>
      <c r="AP12" s="68">
        <f t="shared" si="33"/>
        <v>909437.81144319999</v>
      </c>
      <c r="AQ12" s="68">
        <f t="shared" si="34"/>
        <v>1510036.4685536001</v>
      </c>
      <c r="AR12" s="68">
        <f t="shared" si="35"/>
        <v>2391857.5794602665</v>
      </c>
      <c r="AS12" s="68">
        <f t="shared" si="36"/>
        <v>1385166.6004245332</v>
      </c>
      <c r="AT12" s="68">
        <f t="shared" si="37"/>
        <v>410072.17408213334</v>
      </c>
      <c r="AU12" s="68">
        <f t="shared" si="38"/>
        <v>368802.55204693339</v>
      </c>
      <c r="AV12" s="68">
        <f t="shared" si="39"/>
        <v>606291.8742954667</v>
      </c>
      <c r="AW12" s="68">
        <f t="shared" si="40"/>
        <v>1006690.9790357334</v>
      </c>
      <c r="AX12" s="68">
        <f>'5.1.1 Nakłady B+R'!B14*1000</f>
        <v>202748</v>
      </c>
      <c r="AY12" s="68">
        <f t="shared" si="41"/>
        <v>69035.693999999989</v>
      </c>
      <c r="AZ12" s="68">
        <f t="shared" si="42"/>
        <v>5717.4935999999998</v>
      </c>
      <c r="BA12" s="68">
        <f t="shared" si="43"/>
        <v>19646.281200000001</v>
      </c>
      <c r="BB12" s="68">
        <f t="shared" si="44"/>
        <v>43671.919199999997</v>
      </c>
      <c r="BC12" s="68">
        <f t="shared" si="45"/>
        <v>133712.30599999998</v>
      </c>
      <c r="BD12" s="68">
        <f>'5.1.1 Nakłady B+R'!C14*1000</f>
        <v>197071.05600000001</v>
      </c>
      <c r="BE12" s="68">
        <f t="shared" si="46"/>
        <v>67102.694568000006</v>
      </c>
      <c r="BF12" s="68">
        <f t="shared" si="47"/>
        <v>5557.4037791999999</v>
      </c>
      <c r="BG12" s="68">
        <f t="shared" si="48"/>
        <v>19096.185326400002</v>
      </c>
      <c r="BH12" s="68">
        <f t="shared" si="49"/>
        <v>42449.105462399995</v>
      </c>
      <c r="BI12" s="68">
        <f t="shared" si="56"/>
        <v>129968.36143200001</v>
      </c>
      <c r="BJ12" s="68">
        <f t="shared" si="50"/>
        <v>6176715.0046506673</v>
      </c>
      <c r="BK12" s="68">
        <f t="shared" si="51"/>
        <v>3530019.1956293336</v>
      </c>
      <c r="BL12" s="68">
        <f t="shared" si="52"/>
        <v>1030737.8389845334</v>
      </c>
      <c r="BM12" s="68">
        <f t="shared" si="53"/>
        <v>941102.56544373347</v>
      </c>
      <c r="BN12" s="68">
        <f t="shared" si="54"/>
        <v>1558178.7912010667</v>
      </c>
      <c r="BO12" s="128">
        <f t="shared" si="55"/>
        <v>2646695.8090213332</v>
      </c>
    </row>
    <row r="13" spans="1:67" x14ac:dyDescent="0.3">
      <c r="A13" s="126" t="s">
        <v>12</v>
      </c>
      <c r="B13" s="68">
        <f>Tabela5[[#This Row],[MŚP]]+Tabela5[[#This Row],[Duże]]</f>
        <v>10821872</v>
      </c>
      <c r="C13" s="68">
        <f t="shared" si="0"/>
        <v>6130076</v>
      </c>
      <c r="D13" s="68">
        <v>2234904</v>
      </c>
      <c r="E13" s="68">
        <v>1013300</v>
      </c>
      <c r="F13" s="68">
        <v>2881872</v>
      </c>
      <c r="G13" s="68">
        <v>4691796</v>
      </c>
      <c r="H13" s="68">
        <f t="shared" si="1"/>
        <v>7214581.333333334</v>
      </c>
      <c r="I13" s="68">
        <f t="shared" si="2"/>
        <v>4086717.3333333335</v>
      </c>
      <c r="J13" s="68">
        <f t="shared" si="3"/>
        <v>1489936</v>
      </c>
      <c r="K13" s="68">
        <f t="shared" si="4"/>
        <v>675533.33333333337</v>
      </c>
      <c r="L13" s="68">
        <f t="shared" si="5"/>
        <v>1921248</v>
      </c>
      <c r="M13" s="68">
        <f t="shared" si="6"/>
        <v>3127864</v>
      </c>
      <c r="N13" s="68">
        <v>1335165.1000000001</v>
      </c>
      <c r="O13" s="68">
        <f t="shared" si="7"/>
        <v>443274.81320000009</v>
      </c>
      <c r="P13" s="68">
        <f t="shared" si="8"/>
        <v>34714.292600000008</v>
      </c>
      <c r="Q13" s="68">
        <f t="shared" si="9"/>
        <v>132181.34490000003</v>
      </c>
      <c r="R13" s="68">
        <f t="shared" si="10"/>
        <v>276379.17570000002</v>
      </c>
      <c r="S13" s="68">
        <f t="shared" si="11"/>
        <v>891890.2868</v>
      </c>
      <c r="T13" s="68">
        <f t="shared" si="12"/>
        <v>19371618.433333334</v>
      </c>
      <c r="U13" s="68">
        <f t="shared" si="13"/>
        <v>10660068.146533333</v>
      </c>
      <c r="V13" s="68">
        <f t="shared" si="14"/>
        <v>3759554.2925999998</v>
      </c>
      <c r="W13" s="68">
        <f t="shared" si="15"/>
        <v>1821014.6782333334</v>
      </c>
      <c r="X13" s="68">
        <f t="shared" si="16"/>
        <v>5079499.1756999996</v>
      </c>
      <c r="Y13" s="68">
        <f t="shared" si="17"/>
        <v>8711550.2868000008</v>
      </c>
      <c r="Z13" s="127">
        <v>1</v>
      </c>
      <c r="AA13" s="127">
        <f t="shared" si="18"/>
        <v>0.55029310964489309</v>
      </c>
      <c r="AB13" s="127">
        <f t="shared" si="19"/>
        <v>0.19407538433292804</v>
      </c>
      <c r="AC13" s="127">
        <f t="shared" si="20"/>
        <v>9.4004261156613436E-2</v>
      </c>
      <c r="AD13" s="127">
        <f t="shared" si="21"/>
        <v>0.26221346415535168</v>
      </c>
      <c r="AE13" s="127">
        <f t="shared" si="22"/>
        <v>0.44970689035510686</v>
      </c>
      <c r="AF13" s="68">
        <f t="shared" si="23"/>
        <v>11536115.551999997</v>
      </c>
      <c r="AG13" s="68">
        <f t="shared" si="24"/>
        <v>6534661.0159999989</v>
      </c>
      <c r="AH13" s="68">
        <f t="shared" si="25"/>
        <v>2382407.6639999994</v>
      </c>
      <c r="AI13" s="68">
        <f t="shared" si="26"/>
        <v>1080177.7999999998</v>
      </c>
      <c r="AJ13" s="68">
        <f t="shared" si="27"/>
        <v>3072075.5519999997</v>
      </c>
      <c r="AK13" s="68">
        <f t="shared" si="28"/>
        <v>5001454.5359999994</v>
      </c>
      <c r="AL13" s="68">
        <f t="shared" si="29"/>
        <v>11845283.448793601</v>
      </c>
      <c r="AM13" s="68">
        <f t="shared" si="30"/>
        <v>6709789.9312287997</v>
      </c>
      <c r="AN13" s="68">
        <f t="shared" si="31"/>
        <v>2446256.1893952</v>
      </c>
      <c r="AO13" s="68">
        <f t="shared" si="32"/>
        <v>1109126.56504</v>
      </c>
      <c r="AP13" s="68">
        <f t="shared" si="33"/>
        <v>3154407.1767936</v>
      </c>
      <c r="AQ13" s="68">
        <f t="shared" si="34"/>
        <v>5135493.5175648006</v>
      </c>
      <c r="AR13" s="68">
        <f t="shared" si="35"/>
        <v>7896855.6325290669</v>
      </c>
      <c r="AS13" s="68">
        <f t="shared" si="36"/>
        <v>4473193.2874858668</v>
      </c>
      <c r="AT13" s="68">
        <f t="shared" si="37"/>
        <v>1630837.4595968002</v>
      </c>
      <c r="AU13" s="68">
        <f t="shared" si="38"/>
        <v>739417.71002666664</v>
      </c>
      <c r="AV13" s="68">
        <f t="shared" si="39"/>
        <v>2102938.1178624001</v>
      </c>
      <c r="AW13" s="68">
        <f t="shared" si="40"/>
        <v>3423662.3450432001</v>
      </c>
      <c r="AX13" s="68">
        <f>'5.1.1 Nakłady B+R'!B15*1000</f>
        <v>542652</v>
      </c>
      <c r="AY13" s="68">
        <f t="shared" si="41"/>
        <v>184773.00599999999</v>
      </c>
      <c r="AZ13" s="68">
        <f t="shared" si="42"/>
        <v>15302.786399999999</v>
      </c>
      <c r="BA13" s="68">
        <f t="shared" si="43"/>
        <v>52582.978799999997</v>
      </c>
      <c r="BB13" s="68">
        <f t="shared" si="44"/>
        <v>116887.24079999999</v>
      </c>
      <c r="BC13" s="68">
        <f t="shared" si="45"/>
        <v>357878.99400000001</v>
      </c>
      <c r="BD13" s="68">
        <f>'5.1.1 Nakłady B+R'!C15*1000</f>
        <v>527457.74399999995</v>
      </c>
      <c r="BE13" s="68">
        <f t="shared" si="46"/>
        <v>179599.36183199997</v>
      </c>
      <c r="BF13" s="68">
        <f t="shared" si="47"/>
        <v>14874.308380799997</v>
      </c>
      <c r="BG13" s="68">
        <f t="shared" si="48"/>
        <v>51110.655393599998</v>
      </c>
      <c r="BH13" s="68">
        <f t="shared" si="49"/>
        <v>113614.39805759997</v>
      </c>
      <c r="BI13" s="68">
        <f t="shared" si="56"/>
        <v>347858.38216799992</v>
      </c>
      <c r="BJ13" s="68">
        <f t="shared" si="50"/>
        <v>20269596.825322665</v>
      </c>
      <c r="BK13" s="68">
        <f t="shared" si="51"/>
        <v>11362582.580546666</v>
      </c>
      <c r="BL13" s="68">
        <f t="shared" si="52"/>
        <v>4091967.9573728004</v>
      </c>
      <c r="BM13" s="68">
        <f t="shared" si="53"/>
        <v>1899654.9304602668</v>
      </c>
      <c r="BN13" s="68">
        <f t="shared" si="54"/>
        <v>5370959.6927135997</v>
      </c>
      <c r="BO13" s="128">
        <f t="shared" si="55"/>
        <v>8907014.2447760012</v>
      </c>
    </row>
    <row r="14" spans="1:67" x14ac:dyDescent="0.3">
      <c r="A14" s="126" t="s">
        <v>13</v>
      </c>
      <c r="B14" s="68">
        <f>Tabela5[[#This Row],[MŚP]]+Tabela5[[#This Row],[Duże]]</f>
        <v>24844596</v>
      </c>
      <c r="C14" s="68">
        <f t="shared" si="0"/>
        <v>11174382</v>
      </c>
      <c r="D14" s="68">
        <v>3037972</v>
      </c>
      <c r="E14" s="68">
        <v>2051955</v>
      </c>
      <c r="F14" s="68">
        <v>6084455</v>
      </c>
      <c r="G14" s="68">
        <v>13670214</v>
      </c>
      <c r="H14" s="68">
        <f t="shared" si="1"/>
        <v>16563064</v>
      </c>
      <c r="I14" s="68">
        <f t="shared" si="2"/>
        <v>7449588</v>
      </c>
      <c r="J14" s="68">
        <f t="shared" si="3"/>
        <v>2025314.6666666667</v>
      </c>
      <c r="K14" s="68">
        <f t="shared" si="4"/>
        <v>1367970</v>
      </c>
      <c r="L14" s="68">
        <f t="shared" si="5"/>
        <v>4056303.3333333335</v>
      </c>
      <c r="M14" s="68">
        <f t="shared" si="6"/>
        <v>9113476</v>
      </c>
      <c r="N14" s="68">
        <v>1302961.3999999999</v>
      </c>
      <c r="O14" s="68">
        <f t="shared" si="7"/>
        <v>432583.18479999993</v>
      </c>
      <c r="P14" s="68">
        <f t="shared" si="8"/>
        <v>33876.996400000004</v>
      </c>
      <c r="Q14" s="68">
        <f t="shared" si="9"/>
        <v>128993.1786</v>
      </c>
      <c r="R14" s="68">
        <f t="shared" si="10"/>
        <v>269713.00979999994</v>
      </c>
      <c r="S14" s="68">
        <f t="shared" si="11"/>
        <v>870378.21519999986</v>
      </c>
      <c r="T14" s="68">
        <f t="shared" si="12"/>
        <v>42710621.399999999</v>
      </c>
      <c r="U14" s="68">
        <f t="shared" si="13"/>
        <v>19056553.184799999</v>
      </c>
      <c r="V14" s="68">
        <f t="shared" si="14"/>
        <v>5097163.6630666666</v>
      </c>
      <c r="W14" s="68">
        <f t="shared" si="15"/>
        <v>3548918.1786000002</v>
      </c>
      <c r="X14" s="68">
        <f t="shared" si="16"/>
        <v>10410471.343133334</v>
      </c>
      <c r="Y14" s="68">
        <f t="shared" si="17"/>
        <v>23654068.2152</v>
      </c>
      <c r="Z14" s="127">
        <v>1</v>
      </c>
      <c r="AA14" s="127">
        <f t="shared" si="18"/>
        <v>0.44617831724639812</v>
      </c>
      <c r="AB14" s="127">
        <f t="shared" si="19"/>
        <v>0.11934182870649282</v>
      </c>
      <c r="AC14" s="127">
        <f t="shared" si="20"/>
        <v>8.3092169167082175E-2</v>
      </c>
      <c r="AD14" s="127">
        <f t="shared" si="21"/>
        <v>0.24374431937282315</v>
      </c>
      <c r="AE14" s="127">
        <f t="shared" si="22"/>
        <v>0.55382168275360188</v>
      </c>
      <c r="AF14" s="68">
        <f t="shared" si="23"/>
        <v>26484339.335999995</v>
      </c>
      <c r="AG14" s="68">
        <f t="shared" si="24"/>
        <v>11911891.211999997</v>
      </c>
      <c r="AH14" s="68">
        <f t="shared" si="25"/>
        <v>3238478.1519999993</v>
      </c>
      <c r="AI14" s="68">
        <f t="shared" si="26"/>
        <v>2187384.0299999998</v>
      </c>
      <c r="AJ14" s="68">
        <f t="shared" si="27"/>
        <v>6486029.0299999993</v>
      </c>
      <c r="AK14" s="68">
        <f t="shared" si="28"/>
        <v>14572448.123999998</v>
      </c>
      <c r="AL14" s="68">
        <f t="shared" si="29"/>
        <v>27194119.630204801</v>
      </c>
      <c r="AM14" s="68">
        <f t="shared" si="30"/>
        <v>12231129.8964816</v>
      </c>
      <c r="AN14" s="68">
        <f t="shared" si="31"/>
        <v>3325269.3664735998</v>
      </c>
      <c r="AO14" s="68">
        <f t="shared" si="32"/>
        <v>2246005.9220040003</v>
      </c>
      <c r="AP14" s="68">
        <f t="shared" si="33"/>
        <v>6659854.608004</v>
      </c>
      <c r="AQ14" s="68">
        <f t="shared" si="34"/>
        <v>14962989.733723201</v>
      </c>
      <c r="AR14" s="68">
        <f t="shared" si="35"/>
        <v>18129413.086803198</v>
      </c>
      <c r="AS14" s="68">
        <f t="shared" si="36"/>
        <v>8154086.5976544004</v>
      </c>
      <c r="AT14" s="68">
        <f t="shared" si="37"/>
        <v>2216846.2443157332</v>
      </c>
      <c r="AU14" s="68">
        <f t="shared" si="38"/>
        <v>1497337.281336</v>
      </c>
      <c r="AV14" s="68">
        <f t="shared" si="39"/>
        <v>4439903.072002667</v>
      </c>
      <c r="AW14" s="68">
        <f t="shared" si="40"/>
        <v>9975326.4891487993</v>
      </c>
      <c r="AX14" s="68">
        <f>'5.1.1 Nakłady B+R'!B16*1000</f>
        <v>1103216.0000000002</v>
      </c>
      <c r="AY14" s="68">
        <f t="shared" si="41"/>
        <v>375645.04800000007</v>
      </c>
      <c r="AZ14" s="68">
        <f t="shared" si="42"/>
        <v>31110.691200000005</v>
      </c>
      <c r="BA14" s="68">
        <f t="shared" si="43"/>
        <v>106901.63040000002</v>
      </c>
      <c r="BB14" s="68">
        <f t="shared" si="44"/>
        <v>237632.72640000001</v>
      </c>
      <c r="BC14" s="68">
        <f t="shared" si="45"/>
        <v>727570.95200000016</v>
      </c>
      <c r="BD14" s="68">
        <f>'5.1.1 Nakłady B+R'!C16*1000</f>
        <v>1072325.952</v>
      </c>
      <c r="BE14" s="68">
        <f t="shared" si="46"/>
        <v>365126.98665600002</v>
      </c>
      <c r="BF14" s="68">
        <f t="shared" si="47"/>
        <v>30239.591846400002</v>
      </c>
      <c r="BG14" s="68">
        <f t="shared" si="48"/>
        <v>103908.3847488</v>
      </c>
      <c r="BH14" s="68">
        <f t="shared" si="49"/>
        <v>230979.01006079998</v>
      </c>
      <c r="BI14" s="68">
        <f t="shared" si="56"/>
        <v>707198.96534400003</v>
      </c>
      <c r="BJ14" s="68">
        <f t="shared" si="50"/>
        <v>46395858.669008002</v>
      </c>
      <c r="BK14" s="68">
        <f t="shared" si="51"/>
        <v>20750343.480792001</v>
      </c>
      <c r="BL14" s="68">
        <f t="shared" si="52"/>
        <v>5572355.2026357334</v>
      </c>
      <c r="BM14" s="68">
        <f t="shared" si="53"/>
        <v>3847251.5880888002</v>
      </c>
      <c r="BN14" s="68">
        <f t="shared" si="54"/>
        <v>11330736.690067466</v>
      </c>
      <c r="BO14" s="128">
        <f t="shared" si="55"/>
        <v>25645515.188216001</v>
      </c>
    </row>
    <row r="15" spans="1:67" x14ac:dyDescent="0.3">
      <c r="A15" s="126" t="s">
        <v>14</v>
      </c>
      <c r="B15" s="68">
        <f>Tabela5[[#This Row],[MŚP]]+Tabela5[[#This Row],[Duże]]</f>
        <v>3021580</v>
      </c>
      <c r="C15" s="68">
        <f t="shared" si="0"/>
        <v>1792124</v>
      </c>
      <c r="D15" s="68">
        <v>726260</v>
      </c>
      <c r="E15" s="68">
        <v>421191</v>
      </c>
      <c r="F15" s="68">
        <v>644673</v>
      </c>
      <c r="G15" s="68">
        <v>1229456</v>
      </c>
      <c r="H15" s="68">
        <f t="shared" si="1"/>
        <v>2014386.6666666665</v>
      </c>
      <c r="I15" s="68">
        <f t="shared" si="2"/>
        <v>1194749.3333333333</v>
      </c>
      <c r="J15" s="68">
        <f t="shared" si="3"/>
        <v>484173.33333333331</v>
      </c>
      <c r="K15" s="68">
        <f t="shared" si="4"/>
        <v>280794</v>
      </c>
      <c r="L15" s="68">
        <f t="shared" si="5"/>
        <v>429782</v>
      </c>
      <c r="M15" s="68">
        <f t="shared" si="6"/>
        <v>819637.33333333337</v>
      </c>
      <c r="N15" s="68">
        <v>197483.5</v>
      </c>
      <c r="O15" s="68">
        <f t="shared" si="7"/>
        <v>65564.521999999997</v>
      </c>
      <c r="P15" s="68">
        <f t="shared" si="8"/>
        <v>5134.5710000000008</v>
      </c>
      <c r="Q15" s="68">
        <f t="shared" si="9"/>
        <v>19550.8665</v>
      </c>
      <c r="R15" s="68">
        <f t="shared" si="10"/>
        <v>40879.084499999997</v>
      </c>
      <c r="S15" s="68">
        <f t="shared" si="11"/>
        <v>131918.97799999997</v>
      </c>
      <c r="T15" s="68">
        <f t="shared" si="12"/>
        <v>5233450.166666666</v>
      </c>
      <c r="U15" s="68">
        <f t="shared" si="13"/>
        <v>3052437.8553333329</v>
      </c>
      <c r="V15" s="68">
        <f t="shared" si="14"/>
        <v>1215567.9043333333</v>
      </c>
      <c r="W15" s="68">
        <f t="shared" si="15"/>
        <v>721535.8665</v>
      </c>
      <c r="X15" s="68">
        <f t="shared" si="16"/>
        <v>1115334.0844999999</v>
      </c>
      <c r="Y15" s="68">
        <f t="shared" si="17"/>
        <v>2181012.3113333336</v>
      </c>
      <c r="Z15" s="127">
        <v>1</v>
      </c>
      <c r="AA15" s="127">
        <f t="shared" si="18"/>
        <v>0.58325535891698721</v>
      </c>
      <c r="AB15" s="127">
        <f t="shared" si="19"/>
        <v>0.23226893648011235</v>
      </c>
      <c r="AC15" s="127">
        <f t="shared" si="20"/>
        <v>0.13787001758336542</v>
      </c>
      <c r="AD15" s="127">
        <f t="shared" si="21"/>
        <v>0.21311640485350949</v>
      </c>
      <c r="AE15" s="127">
        <f t="shared" si="22"/>
        <v>0.41674464108301285</v>
      </c>
      <c r="AF15" s="68">
        <f t="shared" si="23"/>
        <v>3221004.28</v>
      </c>
      <c r="AG15" s="68">
        <f t="shared" si="24"/>
        <v>1910404.1839999999</v>
      </c>
      <c r="AH15" s="68">
        <f t="shared" si="25"/>
        <v>774193.15999999992</v>
      </c>
      <c r="AI15" s="68">
        <f t="shared" si="26"/>
        <v>448989.60599999991</v>
      </c>
      <c r="AJ15" s="68">
        <f t="shared" si="27"/>
        <v>687221.41799999995</v>
      </c>
      <c r="AK15" s="68">
        <f t="shared" si="28"/>
        <v>1310600.0959999999</v>
      </c>
      <c r="AL15" s="68">
        <f t="shared" si="29"/>
        <v>3307327.1947039999</v>
      </c>
      <c r="AM15" s="68">
        <f t="shared" si="30"/>
        <v>1961603.0161312001</v>
      </c>
      <c r="AN15" s="68">
        <f t="shared" si="31"/>
        <v>794941.53668800008</v>
      </c>
      <c r="AO15" s="68">
        <f t="shared" si="32"/>
        <v>461022.52744079998</v>
      </c>
      <c r="AP15" s="68">
        <f t="shared" si="33"/>
        <v>705638.95200240007</v>
      </c>
      <c r="AQ15" s="68">
        <f t="shared" si="34"/>
        <v>1345724.1785728</v>
      </c>
      <c r="AR15" s="68">
        <f t="shared" si="35"/>
        <v>2204884.7964693336</v>
      </c>
      <c r="AS15" s="68">
        <f t="shared" si="36"/>
        <v>1307735.3440874668</v>
      </c>
      <c r="AT15" s="68">
        <f t="shared" si="37"/>
        <v>529961.02445866668</v>
      </c>
      <c r="AU15" s="68">
        <f t="shared" si="38"/>
        <v>307348.35162719997</v>
      </c>
      <c r="AV15" s="68">
        <f t="shared" si="39"/>
        <v>470425.96800160006</v>
      </c>
      <c r="AW15" s="68">
        <f t="shared" si="40"/>
        <v>897149.45238186663</v>
      </c>
      <c r="AX15" s="68">
        <f>'5.1.1 Nakłady B+R'!B17*1000</f>
        <v>211176.00000000003</v>
      </c>
      <c r="AY15" s="68">
        <f t="shared" si="41"/>
        <v>71905.428000000014</v>
      </c>
      <c r="AZ15" s="68">
        <f t="shared" si="42"/>
        <v>5955.1632000000009</v>
      </c>
      <c r="BA15" s="68">
        <f t="shared" si="43"/>
        <v>20462.954400000002</v>
      </c>
      <c r="BB15" s="68">
        <f t="shared" si="44"/>
        <v>45487.310400000002</v>
      </c>
      <c r="BC15" s="68">
        <f t="shared" si="45"/>
        <v>139270.57200000001</v>
      </c>
      <c r="BD15" s="68">
        <f>'5.1.1 Nakłady B+R'!C17*1000</f>
        <v>205263.07199999999</v>
      </c>
      <c r="BE15" s="68">
        <f t="shared" si="46"/>
        <v>69892.076015999992</v>
      </c>
      <c r="BF15" s="68">
        <f t="shared" si="47"/>
        <v>5788.4186303999995</v>
      </c>
      <c r="BG15" s="68">
        <f t="shared" si="48"/>
        <v>19889.9916768</v>
      </c>
      <c r="BH15" s="68">
        <f t="shared" si="49"/>
        <v>44213.665708799992</v>
      </c>
      <c r="BI15" s="68">
        <f t="shared" si="56"/>
        <v>135370.99598399998</v>
      </c>
      <c r="BJ15" s="68">
        <f t="shared" si="50"/>
        <v>5717475.0631733332</v>
      </c>
      <c r="BK15" s="68">
        <f t="shared" si="51"/>
        <v>3339230.436234667</v>
      </c>
      <c r="BL15" s="68">
        <f t="shared" si="52"/>
        <v>1330690.9797770667</v>
      </c>
      <c r="BM15" s="68">
        <f t="shared" si="53"/>
        <v>788260.87074479996</v>
      </c>
      <c r="BN15" s="68">
        <f t="shared" si="54"/>
        <v>1220278.5857128003</v>
      </c>
      <c r="BO15" s="128">
        <f t="shared" si="55"/>
        <v>2378244.6269386667</v>
      </c>
    </row>
    <row r="16" spans="1:67" x14ac:dyDescent="0.3">
      <c r="A16" s="126" t="s">
        <v>15</v>
      </c>
      <c r="B16" s="68">
        <f>Tabela5[[#This Row],[MŚP]]+Tabela5[[#This Row],[Duże]]</f>
        <v>4257710</v>
      </c>
      <c r="C16" s="68">
        <f t="shared" si="0"/>
        <v>2154309</v>
      </c>
      <c r="D16" s="68">
        <v>782748</v>
      </c>
      <c r="E16" s="68">
        <v>474910</v>
      </c>
      <c r="F16" s="68">
        <v>896651</v>
      </c>
      <c r="G16" s="68">
        <v>2103401</v>
      </c>
      <c r="H16" s="68">
        <f t="shared" si="1"/>
        <v>2838473.333333333</v>
      </c>
      <c r="I16" s="68">
        <f t="shared" si="2"/>
        <v>1436206</v>
      </c>
      <c r="J16" s="68">
        <f t="shared" si="3"/>
        <v>521832</v>
      </c>
      <c r="K16" s="68">
        <f t="shared" si="4"/>
        <v>316606.66666666669</v>
      </c>
      <c r="L16" s="68">
        <f t="shared" si="5"/>
        <v>597767.33333333337</v>
      </c>
      <c r="M16" s="68">
        <f t="shared" si="6"/>
        <v>1402267.3333333333</v>
      </c>
      <c r="N16" s="68">
        <v>129651.1</v>
      </c>
      <c r="O16" s="68">
        <f t="shared" si="7"/>
        <v>43044.165200000003</v>
      </c>
      <c r="P16" s="68">
        <f t="shared" si="8"/>
        <v>3370.9286000000006</v>
      </c>
      <c r="Q16" s="68">
        <f t="shared" si="9"/>
        <v>12835.458900000001</v>
      </c>
      <c r="R16" s="68">
        <f t="shared" si="10"/>
        <v>26837.777699999999</v>
      </c>
      <c r="S16" s="68">
        <f t="shared" si="11"/>
        <v>86606.934799999988</v>
      </c>
      <c r="T16" s="68">
        <f t="shared" si="12"/>
        <v>7225834.4333333336</v>
      </c>
      <c r="U16" s="68">
        <f t="shared" si="13"/>
        <v>3633559.1652000002</v>
      </c>
      <c r="V16" s="68">
        <f t="shared" si="14"/>
        <v>1307950.9286</v>
      </c>
      <c r="W16" s="68">
        <f t="shared" si="15"/>
        <v>804352.12556666671</v>
      </c>
      <c r="X16" s="68">
        <f t="shared" si="16"/>
        <v>1521256.1110333335</v>
      </c>
      <c r="Y16" s="68">
        <f t="shared" si="17"/>
        <v>3592275.268133333</v>
      </c>
      <c r="Z16" s="127">
        <v>1</v>
      </c>
      <c r="AA16" s="127">
        <f t="shared" si="18"/>
        <v>0.50285668717208776</v>
      </c>
      <c r="AB16" s="127">
        <f t="shared" si="19"/>
        <v>0.18101036505435567</v>
      </c>
      <c r="AC16" s="127">
        <f t="shared" si="20"/>
        <v>0.11131615773759333</v>
      </c>
      <c r="AD16" s="127">
        <f t="shared" si="21"/>
        <v>0.21053016438013875</v>
      </c>
      <c r="AE16" s="127">
        <f t="shared" si="22"/>
        <v>0.49714331282791219</v>
      </c>
      <c r="AF16" s="68">
        <f t="shared" si="23"/>
        <v>4538718.8599999994</v>
      </c>
      <c r="AG16" s="68">
        <f t="shared" si="24"/>
        <v>2296493.3939999999</v>
      </c>
      <c r="AH16" s="68">
        <f t="shared" si="25"/>
        <v>834409.3679999999</v>
      </c>
      <c r="AI16" s="68">
        <f t="shared" si="26"/>
        <v>506254.05999999994</v>
      </c>
      <c r="AJ16" s="68">
        <f t="shared" si="27"/>
        <v>955829.9659999999</v>
      </c>
      <c r="AK16" s="68">
        <f t="shared" si="28"/>
        <v>2242225.4659999995</v>
      </c>
      <c r="AL16" s="68">
        <f t="shared" si="29"/>
        <v>4660356.5254480001</v>
      </c>
      <c r="AM16" s="68">
        <f t="shared" si="30"/>
        <v>2358039.4169592001</v>
      </c>
      <c r="AN16" s="68">
        <f t="shared" si="31"/>
        <v>856771.5390624</v>
      </c>
      <c r="AO16" s="68">
        <f t="shared" si="32"/>
        <v>519821.66880800005</v>
      </c>
      <c r="AP16" s="68">
        <f t="shared" si="33"/>
        <v>981446.20908880001</v>
      </c>
      <c r="AQ16" s="68">
        <f t="shared" si="34"/>
        <v>2302317.1084888</v>
      </c>
      <c r="AR16" s="68">
        <f t="shared" si="35"/>
        <v>3106904.3502986669</v>
      </c>
      <c r="AS16" s="68">
        <f t="shared" si="36"/>
        <v>1572026.2779728002</v>
      </c>
      <c r="AT16" s="68">
        <f t="shared" si="37"/>
        <v>571181.02604160004</v>
      </c>
      <c r="AU16" s="68">
        <f t="shared" si="38"/>
        <v>346547.77920533338</v>
      </c>
      <c r="AV16" s="68">
        <f t="shared" si="39"/>
        <v>654297.47272586671</v>
      </c>
      <c r="AW16" s="68">
        <f t="shared" si="40"/>
        <v>1534878.0723258667</v>
      </c>
      <c r="AX16" s="68">
        <f>'5.1.1 Nakłady B+R'!B18*1000</f>
        <v>232892</v>
      </c>
      <c r="AY16" s="68">
        <f t="shared" si="41"/>
        <v>79299.725999999995</v>
      </c>
      <c r="AZ16" s="68">
        <f t="shared" si="42"/>
        <v>6567.5544</v>
      </c>
      <c r="BA16" s="68">
        <f t="shared" si="43"/>
        <v>22567.234799999998</v>
      </c>
      <c r="BB16" s="68">
        <f t="shared" si="44"/>
        <v>50164.936799999996</v>
      </c>
      <c r="BC16" s="68">
        <f t="shared" si="45"/>
        <v>153592.274</v>
      </c>
      <c r="BD16" s="68">
        <f>'5.1.1 Nakłady B+R'!C18*1000</f>
        <v>226371.024</v>
      </c>
      <c r="BE16" s="68">
        <f t="shared" si="46"/>
        <v>77079.333672000008</v>
      </c>
      <c r="BF16" s="68">
        <f t="shared" si="47"/>
        <v>6383.6628768</v>
      </c>
      <c r="BG16" s="68">
        <f t="shared" si="48"/>
        <v>21935.3522256</v>
      </c>
      <c r="BH16" s="68">
        <f t="shared" si="49"/>
        <v>48760.3185696</v>
      </c>
      <c r="BI16" s="68">
        <f t="shared" si="56"/>
        <v>149291.690328</v>
      </c>
      <c r="BJ16" s="68">
        <f t="shared" si="50"/>
        <v>7993631.8997466667</v>
      </c>
      <c r="BK16" s="68">
        <f t="shared" si="51"/>
        <v>4007145.0286039999</v>
      </c>
      <c r="BL16" s="68">
        <f t="shared" si="52"/>
        <v>1434336.2279808</v>
      </c>
      <c r="BM16" s="68">
        <f t="shared" si="53"/>
        <v>888304.80023893341</v>
      </c>
      <c r="BN16" s="68">
        <f t="shared" si="54"/>
        <v>1684504.0003842667</v>
      </c>
      <c r="BO16" s="128">
        <f t="shared" si="55"/>
        <v>3986486.8711426668</v>
      </c>
    </row>
    <row r="17" spans="1:67" x14ac:dyDescent="0.3">
      <c r="A17" s="126" t="s">
        <v>16</v>
      </c>
      <c r="B17" s="68">
        <f>Tabela5[[#This Row],[MŚP]]+Tabela5[[#This Row],[Duże]]</f>
        <v>23245886</v>
      </c>
      <c r="C17" s="68">
        <f t="shared" si="0"/>
        <v>10344373</v>
      </c>
      <c r="D17" s="68">
        <v>4566008</v>
      </c>
      <c r="E17" s="68">
        <v>2060812</v>
      </c>
      <c r="F17" s="68">
        <v>3717553</v>
      </c>
      <c r="G17" s="68">
        <v>12901513</v>
      </c>
      <c r="H17" s="68">
        <f t="shared" si="1"/>
        <v>15497257.333333332</v>
      </c>
      <c r="I17" s="68">
        <f t="shared" si="2"/>
        <v>6896248.666666666</v>
      </c>
      <c r="J17" s="68">
        <f t="shared" si="3"/>
        <v>3044005.3333333335</v>
      </c>
      <c r="K17" s="68">
        <f t="shared" si="4"/>
        <v>1373874.6666666667</v>
      </c>
      <c r="L17" s="68">
        <f t="shared" si="5"/>
        <v>2478368.6666666665</v>
      </c>
      <c r="M17" s="68">
        <f t="shared" si="6"/>
        <v>8601008.666666666</v>
      </c>
      <c r="N17" s="68">
        <v>786686.3</v>
      </c>
      <c r="O17" s="68">
        <f t="shared" si="7"/>
        <v>261179.85159999999</v>
      </c>
      <c r="P17" s="68">
        <f t="shared" si="8"/>
        <v>20453.843800000002</v>
      </c>
      <c r="Q17" s="68">
        <f t="shared" si="9"/>
        <v>77881.943700000003</v>
      </c>
      <c r="R17" s="68">
        <f t="shared" si="10"/>
        <v>162844.06409999999</v>
      </c>
      <c r="S17" s="68">
        <f t="shared" si="11"/>
        <v>525506.44839999999</v>
      </c>
      <c r="T17" s="68">
        <f t="shared" si="12"/>
        <v>39529829.633333325</v>
      </c>
      <c r="U17" s="68">
        <f t="shared" si="13"/>
        <v>17501801.518266667</v>
      </c>
      <c r="V17" s="68">
        <f t="shared" si="14"/>
        <v>7630467.1771333339</v>
      </c>
      <c r="W17" s="68">
        <f t="shared" si="15"/>
        <v>3512568.6103666672</v>
      </c>
      <c r="X17" s="68">
        <f t="shared" si="16"/>
        <v>6358765.7307666661</v>
      </c>
      <c r="Y17" s="68">
        <f t="shared" si="17"/>
        <v>22028028.115066662</v>
      </c>
      <c r="Z17" s="127">
        <v>1</v>
      </c>
      <c r="AA17" s="127">
        <f t="shared" si="18"/>
        <v>0.4427492271180537</v>
      </c>
      <c r="AB17" s="127">
        <f t="shared" si="19"/>
        <v>0.1930306112601857</v>
      </c>
      <c r="AC17" s="127">
        <f t="shared" si="20"/>
        <v>8.8858683251311354E-2</v>
      </c>
      <c r="AD17" s="127">
        <f t="shared" si="21"/>
        <v>0.16085993260655668</v>
      </c>
      <c r="AE17" s="127">
        <f t="shared" si="22"/>
        <v>0.55725077288194635</v>
      </c>
      <c r="AF17" s="68">
        <f t="shared" si="23"/>
        <v>24780114.475999996</v>
      </c>
      <c r="AG17" s="68">
        <f t="shared" si="24"/>
        <v>11027101.617999999</v>
      </c>
      <c r="AH17" s="68">
        <f t="shared" si="25"/>
        <v>4867364.527999999</v>
      </c>
      <c r="AI17" s="68">
        <f t="shared" si="26"/>
        <v>2196825.5919999997</v>
      </c>
      <c r="AJ17" s="68">
        <f t="shared" si="27"/>
        <v>3962911.4979999992</v>
      </c>
      <c r="AK17" s="68">
        <f t="shared" si="28"/>
        <v>13753012.857999997</v>
      </c>
      <c r="AL17" s="68">
        <f t="shared" si="29"/>
        <v>25444221.543956801</v>
      </c>
      <c r="AM17" s="68">
        <f t="shared" si="30"/>
        <v>11322627.9413624</v>
      </c>
      <c r="AN17" s="68">
        <f t="shared" si="31"/>
        <v>4997809.8973503998</v>
      </c>
      <c r="AO17" s="68">
        <f t="shared" si="32"/>
        <v>2255700.5178656001</v>
      </c>
      <c r="AP17" s="68">
        <f t="shared" si="33"/>
        <v>4069117.5261463998</v>
      </c>
      <c r="AQ17" s="68">
        <f t="shared" si="34"/>
        <v>14121593.6025944</v>
      </c>
      <c r="AR17" s="68">
        <f t="shared" si="35"/>
        <v>16962814.362637866</v>
      </c>
      <c r="AS17" s="68">
        <f t="shared" si="36"/>
        <v>7548418.6275749337</v>
      </c>
      <c r="AT17" s="68">
        <f t="shared" si="37"/>
        <v>3331873.2649002667</v>
      </c>
      <c r="AU17" s="68">
        <f t="shared" si="38"/>
        <v>1503800.3452437334</v>
      </c>
      <c r="AV17" s="68">
        <f t="shared" si="39"/>
        <v>2712745.0174309332</v>
      </c>
      <c r="AW17" s="68">
        <f t="shared" si="40"/>
        <v>9414395.7350629326</v>
      </c>
      <c r="AX17" s="68">
        <f>'5.1.1 Nakłady B+R'!B19*1000</f>
        <v>903804</v>
      </c>
      <c r="AY17" s="68">
        <f t="shared" si="41"/>
        <v>307745.26199999999</v>
      </c>
      <c r="AZ17" s="68">
        <f t="shared" si="42"/>
        <v>25487.272799999999</v>
      </c>
      <c r="BA17" s="68">
        <f t="shared" si="43"/>
        <v>87578.607600000003</v>
      </c>
      <c r="BB17" s="68">
        <f t="shared" si="44"/>
        <v>194679.38159999999</v>
      </c>
      <c r="BC17" s="68">
        <f t="shared" si="45"/>
        <v>596058.73800000001</v>
      </c>
      <c r="BD17" s="68">
        <f>'5.1.1 Nakłady B+R'!C19*1000</f>
        <v>878497.48800000001</v>
      </c>
      <c r="BE17" s="68">
        <f t="shared" si="46"/>
        <v>299128.39466400002</v>
      </c>
      <c r="BF17" s="68">
        <f t="shared" si="47"/>
        <v>24773.629161599998</v>
      </c>
      <c r="BG17" s="68">
        <f t="shared" si="48"/>
        <v>85126.406587200006</v>
      </c>
      <c r="BH17" s="68">
        <f t="shared" si="49"/>
        <v>189228.35891519999</v>
      </c>
      <c r="BI17" s="68">
        <f t="shared" si="56"/>
        <v>579369.09333599999</v>
      </c>
      <c r="BJ17" s="68">
        <f t="shared" si="50"/>
        <v>43285533.394594669</v>
      </c>
      <c r="BK17" s="68">
        <f t="shared" si="51"/>
        <v>19170174.963601332</v>
      </c>
      <c r="BL17" s="68">
        <f t="shared" si="52"/>
        <v>8354456.791412266</v>
      </c>
      <c r="BM17" s="68">
        <f t="shared" si="53"/>
        <v>3844627.2696965337</v>
      </c>
      <c r="BN17" s="68">
        <f t="shared" si="54"/>
        <v>6971090.9024925325</v>
      </c>
      <c r="BO17" s="128">
        <f t="shared" si="55"/>
        <v>24115358.430993333</v>
      </c>
    </row>
    <row r="18" spans="1:67" x14ac:dyDescent="0.3">
      <c r="A18" s="129" t="s">
        <v>17</v>
      </c>
      <c r="B18" s="68">
        <f>Tabela5[[#This Row],[MŚP]]+Tabela5[[#This Row],[Duże]]</f>
        <v>6284790</v>
      </c>
      <c r="C18" s="51">
        <f t="shared" si="0"/>
        <v>4321771</v>
      </c>
      <c r="D18" s="51">
        <v>1990680</v>
      </c>
      <c r="E18" s="51">
        <v>828183</v>
      </c>
      <c r="F18" s="51">
        <v>1502908</v>
      </c>
      <c r="G18" s="51">
        <v>1963019</v>
      </c>
      <c r="H18" s="51">
        <f t="shared" si="1"/>
        <v>4189860</v>
      </c>
      <c r="I18" s="51">
        <f t="shared" si="2"/>
        <v>2881180.6666666665</v>
      </c>
      <c r="J18" s="51">
        <f t="shared" si="3"/>
        <v>1327120</v>
      </c>
      <c r="K18" s="51">
        <f t="shared" si="4"/>
        <v>552122</v>
      </c>
      <c r="L18" s="51">
        <f t="shared" si="5"/>
        <v>1001938.6666666666</v>
      </c>
      <c r="M18" s="51">
        <f t="shared" si="6"/>
        <v>1308679.3333333333</v>
      </c>
      <c r="N18" s="51">
        <v>183962.3</v>
      </c>
      <c r="O18" s="51">
        <f t="shared" si="7"/>
        <v>61075.483599999992</v>
      </c>
      <c r="P18" s="51">
        <f t="shared" si="8"/>
        <v>4783.0198</v>
      </c>
      <c r="Q18" s="51">
        <f t="shared" si="9"/>
        <v>18212.2677</v>
      </c>
      <c r="R18" s="51">
        <f t="shared" si="10"/>
        <v>38080.196099999994</v>
      </c>
      <c r="S18" s="51">
        <f t="shared" si="11"/>
        <v>122886.81639999998</v>
      </c>
      <c r="T18" s="51">
        <f t="shared" si="12"/>
        <v>10658612.299999999</v>
      </c>
      <c r="U18" s="51">
        <f t="shared" si="13"/>
        <v>7264027.150266666</v>
      </c>
      <c r="V18" s="51">
        <f t="shared" si="14"/>
        <v>3322583.0197999999</v>
      </c>
      <c r="W18" s="51">
        <f t="shared" si="15"/>
        <v>1398517.2677</v>
      </c>
      <c r="X18" s="51">
        <f t="shared" si="16"/>
        <v>2542926.8627666663</v>
      </c>
      <c r="Y18" s="51">
        <f t="shared" si="17"/>
        <v>3394585.1497333329</v>
      </c>
      <c r="Z18" s="130">
        <v>1</v>
      </c>
      <c r="AA18" s="130">
        <f t="shared" si="18"/>
        <v>0.68151715681286829</v>
      </c>
      <c r="AB18" s="130">
        <f t="shared" si="19"/>
        <v>0.31172754259951835</v>
      </c>
      <c r="AC18" s="130">
        <f t="shared" si="20"/>
        <v>0.13121007016082198</v>
      </c>
      <c r="AD18" s="130">
        <f t="shared" si="21"/>
        <v>0.23857954405252799</v>
      </c>
      <c r="AE18" s="130">
        <f t="shared" si="22"/>
        <v>0.31848284318713171</v>
      </c>
      <c r="AF18" s="51">
        <f t="shared" si="23"/>
        <v>6699586.1399999997</v>
      </c>
      <c r="AG18" s="51">
        <f t="shared" si="24"/>
        <v>4607007.8859999999</v>
      </c>
      <c r="AH18" s="51">
        <f t="shared" si="25"/>
        <v>2122064.88</v>
      </c>
      <c r="AI18" s="51">
        <f t="shared" si="26"/>
        <v>882843.07799999986</v>
      </c>
      <c r="AJ18" s="51">
        <f t="shared" si="27"/>
        <v>1602099.9279999998</v>
      </c>
      <c r="AK18" s="51">
        <f t="shared" si="28"/>
        <v>2092578.2539999997</v>
      </c>
      <c r="AL18" s="51">
        <f t="shared" si="29"/>
        <v>6879135.0485520009</v>
      </c>
      <c r="AM18" s="51">
        <f t="shared" si="30"/>
        <v>4730475.6973448005</v>
      </c>
      <c r="AN18" s="51">
        <f t="shared" si="31"/>
        <v>2178936.2187840003</v>
      </c>
      <c r="AO18" s="51">
        <f t="shared" si="32"/>
        <v>906503.27249040001</v>
      </c>
      <c r="AP18" s="51">
        <f t="shared" si="33"/>
        <v>1645036.2060704001</v>
      </c>
      <c r="AQ18" s="51">
        <f t="shared" si="34"/>
        <v>2148659.3512072</v>
      </c>
      <c r="AR18" s="51">
        <f t="shared" si="35"/>
        <v>4586090.0323680006</v>
      </c>
      <c r="AS18" s="51">
        <f t="shared" si="36"/>
        <v>3153650.4648965336</v>
      </c>
      <c r="AT18" s="51">
        <f t="shared" si="37"/>
        <v>1452624.1458560003</v>
      </c>
      <c r="AU18" s="51">
        <f t="shared" si="38"/>
        <v>604335.51499360008</v>
      </c>
      <c r="AV18" s="51">
        <f t="shared" si="39"/>
        <v>1096690.8040469333</v>
      </c>
      <c r="AW18" s="51">
        <f t="shared" si="40"/>
        <v>1432439.5674714667</v>
      </c>
      <c r="AX18" s="51">
        <f>'5.1.1 Nakłady B+R'!B20*1000</f>
        <v>336352.00000000006</v>
      </c>
      <c r="AY18" s="51">
        <f t="shared" si="41"/>
        <v>114527.85600000001</v>
      </c>
      <c r="AZ18" s="51">
        <f t="shared" si="42"/>
        <v>9485.126400000001</v>
      </c>
      <c r="BA18" s="51">
        <f t="shared" si="43"/>
        <v>32592.508800000007</v>
      </c>
      <c r="BB18" s="51">
        <f t="shared" si="44"/>
        <v>72450.22080000001</v>
      </c>
      <c r="BC18" s="51">
        <f t="shared" si="45"/>
        <v>221824.14400000003</v>
      </c>
      <c r="BD18" s="51">
        <f>'5.1.1 Nakłady B+R'!C20*1000</f>
        <v>326934.14400000003</v>
      </c>
      <c r="BE18" s="51">
        <f t="shared" si="46"/>
        <v>111321.07603200001</v>
      </c>
      <c r="BF18" s="51">
        <f t="shared" si="47"/>
        <v>9219.5428608000002</v>
      </c>
      <c r="BG18" s="51">
        <f t="shared" si="48"/>
        <v>31679.918553600004</v>
      </c>
      <c r="BH18" s="51">
        <f t="shared" si="49"/>
        <v>70421.614617600004</v>
      </c>
      <c r="BI18" s="51">
        <f t="shared" si="56"/>
        <v>215613.06796800002</v>
      </c>
      <c r="BJ18" s="51">
        <f t="shared" si="50"/>
        <v>11792159.224920001</v>
      </c>
      <c r="BK18" s="51">
        <f t="shared" si="51"/>
        <v>7995447.2382733347</v>
      </c>
      <c r="BL18" s="51">
        <f t="shared" si="52"/>
        <v>3640779.9075008007</v>
      </c>
      <c r="BM18" s="51">
        <f t="shared" si="53"/>
        <v>1542518.7060376001</v>
      </c>
      <c r="BN18" s="51">
        <f t="shared" si="54"/>
        <v>2812148.6247349335</v>
      </c>
      <c r="BO18" s="52">
        <f t="shared" si="55"/>
        <v>3796711.9866466667</v>
      </c>
    </row>
    <row r="19" spans="1:67" x14ac:dyDescent="0.3">
      <c r="A19" s="269"/>
      <c r="B19" s="269"/>
      <c r="C19" s="273"/>
      <c r="D19" s="274"/>
      <c r="E19" s="274"/>
      <c r="F19" s="274"/>
      <c r="G19" s="274"/>
      <c r="H19" s="271"/>
      <c r="I19" s="271"/>
      <c r="J19" s="271"/>
      <c r="K19" s="271"/>
      <c r="L19" s="271"/>
      <c r="M19" s="271"/>
      <c r="N19" s="271"/>
      <c r="O19" s="271"/>
      <c r="P19" s="271"/>
      <c r="Q19" s="271"/>
      <c r="R19" s="271"/>
      <c r="S19" s="271"/>
      <c r="T19" s="271"/>
      <c r="U19" s="271"/>
      <c r="V19" s="271"/>
      <c r="W19" s="271"/>
      <c r="X19" s="271"/>
      <c r="Y19" s="271"/>
      <c r="Z19" s="271"/>
      <c r="AA19" s="271"/>
      <c r="AB19" s="271"/>
      <c r="AC19" s="270"/>
      <c r="AD19" s="270"/>
      <c r="AE19" s="270"/>
      <c r="AF19" s="272"/>
      <c r="AG19" s="272"/>
      <c r="AH19" s="272"/>
      <c r="AI19" s="271"/>
      <c r="AJ19" s="271"/>
      <c r="AK19" s="271"/>
      <c r="AL19" s="271"/>
      <c r="AM19" s="271"/>
      <c r="AN19" s="271"/>
      <c r="AO19" s="271"/>
      <c r="AP19" s="271"/>
      <c r="AQ19" s="271"/>
      <c r="AR19" s="271"/>
      <c r="AS19" s="271"/>
      <c r="AT19" s="271"/>
      <c r="AU19" s="271"/>
      <c r="AV19" s="271"/>
      <c r="AW19" s="271"/>
      <c r="AX19" s="271"/>
      <c r="AY19" s="271"/>
      <c r="AZ19" s="271"/>
      <c r="BA19" s="271"/>
      <c r="BB19" s="271"/>
      <c r="BC19" s="271"/>
      <c r="BD19" s="271"/>
      <c r="BE19" s="271"/>
      <c r="BF19" s="271"/>
      <c r="BG19" s="271"/>
      <c r="BH19" s="271"/>
      <c r="BI19" s="271"/>
      <c r="BJ19" s="271"/>
      <c r="BK19" s="271"/>
      <c r="BL19" s="271"/>
      <c r="BM19" s="271"/>
      <c r="BN19" s="271"/>
      <c r="BO19" s="271"/>
    </row>
    <row r="20" spans="1:67" x14ac:dyDescent="0.3">
      <c r="A20" s="32" t="s">
        <v>242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0"/>
    </row>
    <row r="22" spans="1:67" x14ac:dyDescent="0.3">
      <c r="A22" s="32" t="s">
        <v>243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0"/>
    </row>
    <row r="24" spans="1:67" x14ac:dyDescent="0.3">
      <c r="A24" s="32" t="s">
        <v>244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0"/>
    </row>
    <row r="26" spans="1:67" x14ac:dyDescent="0.3">
      <c r="A26" s="32" t="s">
        <v>245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0"/>
    </row>
    <row r="28" spans="1:67" x14ac:dyDescent="0.3">
      <c r="A28" s="32" t="s">
        <v>246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0"/>
    </row>
    <row r="30" spans="1:67" x14ac:dyDescent="0.3">
      <c r="A30" s="32" t="s">
        <v>247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0"/>
    </row>
    <row r="32" spans="1:67" x14ac:dyDescent="0.3">
      <c r="A32" s="32" t="s">
        <v>248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0"/>
    </row>
    <row r="34" spans="1:67" x14ac:dyDescent="0.3">
      <c r="A34" s="32" t="s">
        <v>251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0"/>
    </row>
  </sheetData>
  <pageMargins left="0.7" right="0.7" top="0.75" bottom="0.75" header="0.3" footer="0.3"/>
  <legacy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</sheetPr>
  <dimension ref="A1:Y18"/>
  <sheetViews>
    <sheetView zoomScale="90" zoomScaleNormal="90" workbookViewId="0">
      <selection activeCell="G11" sqref="G11"/>
    </sheetView>
  </sheetViews>
  <sheetFormatPr defaultRowHeight="14.4" x14ac:dyDescent="0.3"/>
  <cols>
    <col min="1" max="1" width="17.88671875" customWidth="1"/>
    <col min="2" max="2" width="30.5546875" customWidth="1"/>
    <col min="3" max="3" width="14.6640625" customWidth="1"/>
    <col min="4" max="4" width="13.88671875" customWidth="1"/>
    <col min="5" max="5" width="14.44140625" customWidth="1"/>
    <col min="6" max="6" width="14.6640625" customWidth="1"/>
    <col min="7" max="7" width="15" customWidth="1"/>
    <col min="8" max="8" width="20.6640625" customWidth="1"/>
    <col min="9" max="9" width="15.88671875" customWidth="1"/>
    <col min="10" max="10" width="15.33203125" customWidth="1"/>
    <col min="11" max="11" width="13.5546875" customWidth="1"/>
    <col min="12" max="13" width="14" bestFit="1" customWidth="1"/>
    <col min="14" max="14" width="21.6640625" customWidth="1"/>
    <col min="15" max="15" width="15" customWidth="1"/>
    <col min="16" max="16" width="13.109375" customWidth="1"/>
    <col min="17" max="17" width="13" customWidth="1"/>
    <col min="18" max="18" width="13.88671875" customWidth="1"/>
    <col min="19" max="19" width="13.5546875" customWidth="1"/>
    <col min="20" max="20" width="19.33203125" customWidth="1"/>
    <col min="21" max="21" width="15.6640625" customWidth="1"/>
    <col min="22" max="23" width="14.44140625" customWidth="1"/>
    <col min="24" max="24" width="14" customWidth="1"/>
    <col min="25" max="25" width="16" customWidth="1"/>
  </cols>
  <sheetData>
    <row r="1" spans="1:25" ht="47.25" customHeight="1" thickBot="1" x14ac:dyDescent="0.35">
      <c r="A1" s="143" t="s">
        <v>122</v>
      </c>
      <c r="B1" s="275" t="s">
        <v>272</v>
      </c>
      <c r="C1" s="143" t="s">
        <v>64</v>
      </c>
      <c r="D1" s="143" t="s">
        <v>20</v>
      </c>
      <c r="E1" s="143" t="s">
        <v>21</v>
      </c>
      <c r="F1" s="143" t="s">
        <v>22</v>
      </c>
      <c r="G1" s="143" t="s">
        <v>23</v>
      </c>
      <c r="H1" s="144" t="s">
        <v>273</v>
      </c>
      <c r="I1" s="143" t="s">
        <v>184</v>
      </c>
      <c r="J1" s="143" t="s">
        <v>185</v>
      </c>
      <c r="K1" s="143" t="s">
        <v>186</v>
      </c>
      <c r="L1" s="143" t="s">
        <v>187</v>
      </c>
      <c r="M1" s="143" t="s">
        <v>188</v>
      </c>
      <c r="N1" s="144" t="s">
        <v>274</v>
      </c>
      <c r="O1" s="143" t="s">
        <v>190</v>
      </c>
      <c r="P1" s="143" t="s">
        <v>191</v>
      </c>
      <c r="Q1" s="143" t="s">
        <v>192</v>
      </c>
      <c r="R1" s="143" t="s">
        <v>193</v>
      </c>
      <c r="S1" s="143" t="s">
        <v>194</v>
      </c>
      <c r="T1" s="144" t="s">
        <v>275</v>
      </c>
      <c r="U1" s="143" t="s">
        <v>196</v>
      </c>
      <c r="V1" s="143" t="s">
        <v>197</v>
      </c>
      <c r="W1" s="143" t="s">
        <v>198</v>
      </c>
      <c r="X1" s="143" t="s">
        <v>199</v>
      </c>
      <c r="Y1" s="143" t="s">
        <v>200</v>
      </c>
    </row>
    <row r="2" spans="1:25" ht="15" thickTop="1" x14ac:dyDescent="0.3">
      <c r="A2" s="126">
        <v>2020</v>
      </c>
      <c r="B2" s="68">
        <f>SUM(D2:G2)</f>
        <v>238843.56034808879</v>
      </c>
      <c r="C2" s="68">
        <f>SUM(D2:F2)</f>
        <v>108879.86492225439</v>
      </c>
      <c r="D2" s="68">
        <f>'5.1.1 Nakłady_razem'!AN2/1000</f>
        <v>42419.204957656795</v>
      </c>
      <c r="E2" s="68">
        <f>'5.1.1 Nakłady_razem'!AO2/1000</f>
        <v>20941.236647728798</v>
      </c>
      <c r="F2" s="68">
        <f>'5.1.1 Nakłady_razem'!AP2/1000</f>
        <v>45519.423316868793</v>
      </c>
      <c r="G2" s="68">
        <f>'5.1.1 Nakłady_razem'!AQ2/1000</f>
        <v>129963.69542583442</v>
      </c>
      <c r="H2" s="68">
        <f>SUM(J2:M2)</f>
        <v>159229.0402320592</v>
      </c>
      <c r="I2" s="68">
        <f>SUM(J2:L2)</f>
        <v>72586.57661483626</v>
      </c>
      <c r="J2" s="68">
        <f>D2*40/60</f>
        <v>28279.469971771196</v>
      </c>
      <c r="K2" s="68">
        <f>E2*40/60</f>
        <v>13960.824431819199</v>
      </c>
      <c r="L2" s="68">
        <f>F2*40/60</f>
        <v>30346.28221124586</v>
      </c>
      <c r="M2" s="68">
        <f>G2*40/60</f>
        <v>86642.463617222937</v>
      </c>
      <c r="N2" s="68">
        <f>SUM(P2:S2)</f>
        <v>8894.7253440000004</v>
      </c>
      <c r="O2" s="68">
        <f>SUM(P2:R2)</f>
        <v>3028.6539796319998</v>
      </c>
      <c r="P2" s="68">
        <f>'5.1.1 Nakłady_razem'!BF2/1000</f>
        <v>250.83125470079997</v>
      </c>
      <c r="Q2" s="68">
        <f>'5.1.1 Nakłady_razem'!BG2/1000</f>
        <v>861.89888583359993</v>
      </c>
      <c r="R2" s="68">
        <f>'5.1.1 Nakłady_razem'!BH2/1000</f>
        <v>1915.9238390976</v>
      </c>
      <c r="S2" s="68">
        <f>'5.1.1 Nakłady_razem'!BI2/1000</f>
        <v>5866.0713643680001</v>
      </c>
      <c r="T2" s="68">
        <f>SUM(V2:Y2)</f>
        <v>406967.32592414797</v>
      </c>
      <c r="U2" s="68">
        <f>SUM(V2:X2)</f>
        <v>184495.09551672265</v>
      </c>
      <c r="V2" s="68">
        <f>D2+J2+P2</f>
        <v>70949.506184128782</v>
      </c>
      <c r="W2" s="68">
        <f>E2+K2+Q2</f>
        <v>35763.959965381597</v>
      </c>
      <c r="X2" s="68">
        <f>F2+L2+R2</f>
        <v>77781.629367212256</v>
      </c>
      <c r="Y2" s="128">
        <f>G2+M2+S2</f>
        <v>222472.23040742535</v>
      </c>
    </row>
    <row r="3" spans="1:25" x14ac:dyDescent="0.3">
      <c r="A3" s="126">
        <v>2021</v>
      </c>
      <c r="B3" s="68">
        <f t="shared" ref="B3:B11" si="0">SUM(D3:G3)</f>
        <v>246725.39783957571</v>
      </c>
      <c r="C3" s="68">
        <f>SUM(D3:F3)</f>
        <v>112472.90046468878</v>
      </c>
      <c r="D3" s="68">
        <f>D2*1.033</f>
        <v>43819.038721259465</v>
      </c>
      <c r="E3" s="68">
        <f t="shared" ref="E3:G3" si="1">E2*1.033</f>
        <v>21632.297457103847</v>
      </c>
      <c r="F3" s="68">
        <f t="shared" si="1"/>
        <v>47021.564286325462</v>
      </c>
      <c r="G3" s="68">
        <f t="shared" si="1"/>
        <v>134252.49737488694</v>
      </c>
      <c r="H3" s="68">
        <f t="shared" ref="H3:H11" si="2">SUM(J3:M3)</f>
        <v>164483.59855971712</v>
      </c>
      <c r="I3" s="68">
        <f t="shared" ref="I3:I11" si="3">SUM(J3:L3)</f>
        <v>74981.933643125842</v>
      </c>
      <c r="J3" s="68">
        <f t="shared" ref="J3:M11" si="4">D3*40/60</f>
        <v>29212.69248083964</v>
      </c>
      <c r="K3" s="68">
        <f t="shared" si="4"/>
        <v>14421.531638069231</v>
      </c>
      <c r="L3" s="68">
        <f t="shared" si="4"/>
        <v>31347.709524216978</v>
      </c>
      <c r="M3" s="68">
        <f t="shared" si="4"/>
        <v>89501.664916591282</v>
      </c>
      <c r="N3" s="68">
        <f>'5.1.1 Nakłady B+R'!D4</f>
        <v>9762.5169853740008</v>
      </c>
      <c r="O3" s="68">
        <f t="shared" ref="O3:O11" si="5">SUM(P3:R3)</f>
        <v>3324.1370335198471</v>
      </c>
      <c r="P3" s="68">
        <f>N3*2.82%</f>
        <v>275.30297898754679</v>
      </c>
      <c r="Q3" s="68">
        <f>N3*9.69%</f>
        <v>945.98789588274064</v>
      </c>
      <c r="R3" s="68">
        <f>N3*21.54%</f>
        <v>2102.8461586495596</v>
      </c>
      <c r="S3" s="68">
        <f>N3*65.95%</f>
        <v>6438.3799518541537</v>
      </c>
      <c r="T3" s="68">
        <f t="shared" ref="T3:T11" si="6">SUM(V3:Y3)</f>
        <v>420971.51338466682</v>
      </c>
      <c r="U3" s="68">
        <f t="shared" ref="U3:U11" si="7">SUM(V3:X3)</f>
        <v>190778.97114133445</v>
      </c>
      <c r="V3" s="68">
        <f t="shared" ref="V3:V11" si="8">D3+J3+P3</f>
        <v>73307.034181086652</v>
      </c>
      <c r="W3" s="68">
        <f t="shared" ref="W3:W11" si="9">E3+K3+Q3</f>
        <v>36999.816991055814</v>
      </c>
      <c r="X3" s="68">
        <f t="shared" ref="X3:X11" si="10">F3+L3+R3</f>
        <v>80472.11996919199</v>
      </c>
      <c r="Y3" s="128">
        <f t="shared" ref="Y3:Y11" si="11">G3+M3+S3</f>
        <v>230192.54224333237</v>
      </c>
    </row>
    <row r="4" spans="1:25" x14ac:dyDescent="0.3">
      <c r="A4" s="126">
        <v>2022</v>
      </c>
      <c r="B4" s="68">
        <f t="shared" si="0"/>
        <v>255360.78676396084</v>
      </c>
      <c r="C4" s="68">
        <f t="shared" ref="C4:C11" si="12">SUM(D4:F4)</f>
        <v>116409.45198095287</v>
      </c>
      <c r="D4" s="68">
        <f>D3*1.035</f>
        <v>45352.705076503546</v>
      </c>
      <c r="E4" s="68">
        <f t="shared" ref="E4:G4" si="13">E3*1.035</f>
        <v>22389.427868102481</v>
      </c>
      <c r="F4" s="68">
        <f t="shared" si="13"/>
        <v>48667.319036346846</v>
      </c>
      <c r="G4" s="68">
        <f t="shared" si="13"/>
        <v>138951.33478300797</v>
      </c>
      <c r="H4" s="68">
        <f t="shared" si="2"/>
        <v>170240.52450930723</v>
      </c>
      <c r="I4" s="68">
        <f t="shared" si="3"/>
        <v>77606.301320635248</v>
      </c>
      <c r="J4" s="68">
        <f t="shared" si="4"/>
        <v>30235.136717669029</v>
      </c>
      <c r="K4" s="68">
        <f t="shared" si="4"/>
        <v>14926.285245401652</v>
      </c>
      <c r="L4" s="68">
        <f t="shared" si="4"/>
        <v>32444.879357564565</v>
      </c>
      <c r="M4" s="68">
        <f t="shared" si="4"/>
        <v>92634.223188671982</v>
      </c>
      <c r="N4" s="68">
        <f>'5.1.1 Nakłady B+R'!E4</f>
        <v>10698.57008455986</v>
      </c>
      <c r="O4" s="68">
        <f t="shared" si="5"/>
        <v>3642.8631137926322</v>
      </c>
      <c r="P4" s="68">
        <f t="shared" ref="P4:P11" si="14">N4*2.82%</f>
        <v>301.69967638458803</v>
      </c>
      <c r="Q4" s="68">
        <f t="shared" ref="Q4:Q11" si="15">N4*9.69%</f>
        <v>1036.6914411938506</v>
      </c>
      <c r="R4" s="68">
        <f t="shared" ref="R4:R11" si="16">N4*21.54%</f>
        <v>2304.4719962141935</v>
      </c>
      <c r="S4" s="68">
        <f t="shared" ref="S4:S11" si="17">N4*65.95%</f>
        <v>7055.7069707672272</v>
      </c>
      <c r="T4" s="68">
        <f t="shared" si="6"/>
        <v>436299.88135782792</v>
      </c>
      <c r="U4" s="68">
        <f t="shared" si="7"/>
        <v>197658.61641538073</v>
      </c>
      <c r="V4" s="68">
        <f t="shared" si="8"/>
        <v>75889.54147055716</v>
      </c>
      <c r="W4" s="68">
        <f t="shared" si="9"/>
        <v>38352.404554697983</v>
      </c>
      <c r="X4" s="68">
        <f t="shared" si="10"/>
        <v>83416.670390125611</v>
      </c>
      <c r="Y4" s="128">
        <f t="shared" si="11"/>
        <v>238641.26494244719</v>
      </c>
    </row>
    <row r="5" spans="1:25" x14ac:dyDescent="0.3">
      <c r="A5" s="126">
        <v>2023</v>
      </c>
      <c r="B5" s="68">
        <f t="shared" si="0"/>
        <v>264298.41430069943</v>
      </c>
      <c r="C5" s="68">
        <f t="shared" si="12"/>
        <v>120483.78280028621</v>
      </c>
      <c r="D5" s="68">
        <f t="shared" ref="D5:D11" si="18">D4*1.035</f>
        <v>46940.049754181164</v>
      </c>
      <c r="E5" s="68">
        <f t="shared" ref="E5:E11" si="19">E4*1.035</f>
        <v>23173.057843486065</v>
      </c>
      <c r="F5" s="68">
        <f t="shared" ref="F5:F11" si="20">F4*1.035</f>
        <v>50370.675202618979</v>
      </c>
      <c r="G5" s="68">
        <f t="shared" ref="G5:G11" si="21">G4*1.035</f>
        <v>143814.63150041323</v>
      </c>
      <c r="H5" s="68">
        <f t="shared" si="2"/>
        <v>176198.94286713295</v>
      </c>
      <c r="I5" s="68">
        <f t="shared" si="3"/>
        <v>80322.521866857482</v>
      </c>
      <c r="J5" s="68">
        <f t="shared" si="4"/>
        <v>31293.366502787445</v>
      </c>
      <c r="K5" s="68">
        <f t="shared" si="4"/>
        <v>15448.70522899071</v>
      </c>
      <c r="L5" s="68">
        <f t="shared" si="4"/>
        <v>33580.450135079322</v>
      </c>
      <c r="M5" s="68">
        <f t="shared" si="4"/>
        <v>95876.421000275484</v>
      </c>
      <c r="N5" s="68">
        <f>'5.1.1 Nakłady B+R'!F4</f>
        <v>11688.187817381648</v>
      </c>
      <c r="O5" s="68">
        <f t="shared" si="5"/>
        <v>3979.8279518184509</v>
      </c>
      <c r="P5" s="68">
        <f t="shared" si="14"/>
        <v>329.60689645016248</v>
      </c>
      <c r="Q5" s="68">
        <f t="shared" si="15"/>
        <v>1132.5853995042817</v>
      </c>
      <c r="R5" s="68">
        <f t="shared" si="16"/>
        <v>2517.6356558640068</v>
      </c>
      <c r="S5" s="68">
        <f t="shared" si="17"/>
        <v>7708.3598655631968</v>
      </c>
      <c r="T5" s="68">
        <f t="shared" si="6"/>
        <v>452185.54498521402</v>
      </c>
      <c r="U5" s="68">
        <f t="shared" si="7"/>
        <v>204786.13261896212</v>
      </c>
      <c r="V5" s="68">
        <f t="shared" si="8"/>
        <v>78563.023153418762</v>
      </c>
      <c r="W5" s="68">
        <f t="shared" si="9"/>
        <v>39754.348471981051</v>
      </c>
      <c r="X5" s="68">
        <f t="shared" si="10"/>
        <v>86468.760993562304</v>
      </c>
      <c r="Y5" s="128">
        <f t="shared" si="11"/>
        <v>247399.4123662519</v>
      </c>
    </row>
    <row r="6" spans="1:25" x14ac:dyDescent="0.3">
      <c r="A6" s="126">
        <v>2024</v>
      </c>
      <c r="B6" s="68">
        <f t="shared" si="0"/>
        <v>273548.85880122392</v>
      </c>
      <c r="C6" s="68">
        <f t="shared" si="12"/>
        <v>124700.71519829621</v>
      </c>
      <c r="D6" s="68">
        <f t="shared" si="18"/>
        <v>48582.951495577501</v>
      </c>
      <c r="E6" s="68">
        <f t="shared" si="19"/>
        <v>23984.114868008077</v>
      </c>
      <c r="F6" s="68">
        <f t="shared" si="20"/>
        <v>52133.648834710642</v>
      </c>
      <c r="G6" s="68">
        <f t="shared" si="21"/>
        <v>148848.14360292768</v>
      </c>
      <c r="H6" s="68">
        <f t="shared" si="2"/>
        <v>182365.90586748259</v>
      </c>
      <c r="I6" s="68">
        <f t="shared" si="3"/>
        <v>83133.810132197483</v>
      </c>
      <c r="J6" s="68">
        <f t="shared" si="4"/>
        <v>32388.634330385001</v>
      </c>
      <c r="K6" s="68">
        <f t="shared" si="4"/>
        <v>15989.409912005385</v>
      </c>
      <c r="L6" s="68">
        <f t="shared" si="4"/>
        <v>34755.765889807095</v>
      </c>
      <c r="M6" s="68">
        <f t="shared" si="4"/>
        <v>99232.095735285126</v>
      </c>
      <c r="N6" s="68">
        <f>'5.1.1 Nakłady B+R'!G4</f>
        <v>12733.973043147373</v>
      </c>
      <c r="O6" s="68">
        <f t="shared" si="5"/>
        <v>4335.9178211916806</v>
      </c>
      <c r="P6" s="68">
        <f t="shared" si="14"/>
        <v>359.09803981675589</v>
      </c>
      <c r="Q6" s="68">
        <f t="shared" si="15"/>
        <v>1233.9219878809804</v>
      </c>
      <c r="R6" s="68">
        <f t="shared" si="16"/>
        <v>2742.8977934939439</v>
      </c>
      <c r="S6" s="68">
        <f t="shared" si="17"/>
        <v>8398.0552219556921</v>
      </c>
      <c r="T6" s="68">
        <f t="shared" si="6"/>
        <v>468648.73771185393</v>
      </c>
      <c r="U6" s="68">
        <f t="shared" si="7"/>
        <v>212170.44315168541</v>
      </c>
      <c r="V6" s="68">
        <f t="shared" si="8"/>
        <v>81330.683865779269</v>
      </c>
      <c r="W6" s="68">
        <f t="shared" si="9"/>
        <v>41207.446767894442</v>
      </c>
      <c r="X6" s="68">
        <f t="shared" si="10"/>
        <v>89632.312518011677</v>
      </c>
      <c r="Y6" s="128">
        <f t="shared" si="11"/>
        <v>256478.29456016852</v>
      </c>
    </row>
    <row r="7" spans="1:25" x14ac:dyDescent="0.3">
      <c r="A7" s="126">
        <v>2025</v>
      </c>
      <c r="B7" s="68">
        <f t="shared" si="0"/>
        <v>283123.0688592667</v>
      </c>
      <c r="C7" s="68">
        <f t="shared" si="12"/>
        <v>129065.24023023658</v>
      </c>
      <c r="D7" s="68">
        <f t="shared" si="18"/>
        <v>50283.354797922708</v>
      </c>
      <c r="E7" s="68">
        <f t="shared" si="19"/>
        <v>24823.558888388357</v>
      </c>
      <c r="F7" s="68">
        <f t="shared" si="20"/>
        <v>53958.326543925512</v>
      </c>
      <c r="G7" s="68">
        <f t="shared" si="21"/>
        <v>154057.82862903015</v>
      </c>
      <c r="H7" s="68">
        <f t="shared" si="2"/>
        <v>188748.71257284447</v>
      </c>
      <c r="I7" s="68">
        <f t="shared" si="3"/>
        <v>86043.493486824387</v>
      </c>
      <c r="J7" s="68">
        <f t="shared" si="4"/>
        <v>33522.236531948474</v>
      </c>
      <c r="K7" s="68">
        <f t="shared" si="4"/>
        <v>16549.039258925572</v>
      </c>
      <c r="L7" s="68">
        <f t="shared" si="4"/>
        <v>35972.217695950341</v>
      </c>
      <c r="M7" s="68">
        <f t="shared" si="4"/>
        <v>102705.21908602009</v>
      </c>
      <c r="N7" s="68">
        <f>'5.1.1 Nakłady B+R'!H4</f>
        <v>13838.645204640407</v>
      </c>
      <c r="O7" s="68">
        <f t="shared" si="5"/>
        <v>4712.0586921800586</v>
      </c>
      <c r="P7" s="68">
        <f t="shared" si="14"/>
        <v>390.24979477085947</v>
      </c>
      <c r="Q7" s="68">
        <f t="shared" si="15"/>
        <v>1340.9647203296554</v>
      </c>
      <c r="R7" s="68">
        <f t="shared" si="16"/>
        <v>2980.8441770795434</v>
      </c>
      <c r="S7" s="68">
        <f t="shared" si="17"/>
        <v>9126.5865124603479</v>
      </c>
      <c r="T7" s="68">
        <f t="shared" si="6"/>
        <v>485710.42663675162</v>
      </c>
      <c r="U7" s="68">
        <f t="shared" si="7"/>
        <v>219820.79240924102</v>
      </c>
      <c r="V7" s="68">
        <f t="shared" si="8"/>
        <v>84195.841124642044</v>
      </c>
      <c r="W7" s="68">
        <f t="shared" si="9"/>
        <v>42713.562867643581</v>
      </c>
      <c r="X7" s="68">
        <f t="shared" si="10"/>
        <v>92911.388416955408</v>
      </c>
      <c r="Y7" s="128">
        <f t="shared" si="11"/>
        <v>265889.6342275106</v>
      </c>
    </row>
    <row r="8" spans="1:25" x14ac:dyDescent="0.3">
      <c r="A8" s="126">
        <v>2026</v>
      </c>
      <c r="B8" s="68">
        <f t="shared" si="0"/>
        <v>293032.37626934104</v>
      </c>
      <c r="C8" s="68">
        <f t="shared" si="12"/>
        <v>133582.52363829484</v>
      </c>
      <c r="D8" s="68">
        <f t="shared" si="18"/>
        <v>52043.272215849996</v>
      </c>
      <c r="E8" s="68">
        <f t="shared" si="19"/>
        <v>25692.383449481949</v>
      </c>
      <c r="F8" s="68">
        <f t="shared" si="20"/>
        <v>55846.8679729629</v>
      </c>
      <c r="G8" s="68">
        <f t="shared" si="21"/>
        <v>159449.8526310462</v>
      </c>
      <c r="H8" s="68">
        <f t="shared" si="2"/>
        <v>195354.91751289403</v>
      </c>
      <c r="I8" s="68">
        <f t="shared" si="3"/>
        <v>89055.015758863228</v>
      </c>
      <c r="J8" s="68">
        <f t="shared" si="4"/>
        <v>34695.514810566667</v>
      </c>
      <c r="K8" s="68">
        <f t="shared" si="4"/>
        <v>17128.255632987966</v>
      </c>
      <c r="L8" s="68">
        <f t="shared" si="4"/>
        <v>37231.245315308595</v>
      </c>
      <c r="M8" s="68">
        <f t="shared" si="4"/>
        <v>106299.9017540308</v>
      </c>
      <c r="N8" s="68">
        <f>'5.1.1 Nakłady B+R'!I4</f>
        <v>15005.045300460097</v>
      </c>
      <c r="O8" s="68">
        <f t="shared" si="5"/>
        <v>5109.2179248066623</v>
      </c>
      <c r="P8" s="68">
        <f t="shared" si="14"/>
        <v>423.14227747297474</v>
      </c>
      <c r="Q8" s="68">
        <f t="shared" si="15"/>
        <v>1453.9888896145833</v>
      </c>
      <c r="R8" s="68">
        <f t="shared" si="16"/>
        <v>3232.0867577191048</v>
      </c>
      <c r="S8" s="68">
        <f t="shared" si="17"/>
        <v>9895.8273756534327</v>
      </c>
      <c r="T8" s="68">
        <f t="shared" si="6"/>
        <v>503392.33908269519</v>
      </c>
      <c r="U8" s="68">
        <f t="shared" si="7"/>
        <v>227746.75732196475</v>
      </c>
      <c r="V8" s="68">
        <f t="shared" si="8"/>
        <v>87161.929303889628</v>
      </c>
      <c r="W8" s="68">
        <f t="shared" si="9"/>
        <v>44274.627972084505</v>
      </c>
      <c r="X8" s="68">
        <f t="shared" si="10"/>
        <v>96310.200045990612</v>
      </c>
      <c r="Y8" s="128">
        <f t="shared" si="11"/>
        <v>275645.58176073042</v>
      </c>
    </row>
    <row r="9" spans="1:25" x14ac:dyDescent="0.3">
      <c r="A9" s="126">
        <v>2027</v>
      </c>
      <c r="B9" s="68">
        <f t="shared" si="0"/>
        <v>303288.50943876797</v>
      </c>
      <c r="C9" s="68">
        <f t="shared" si="12"/>
        <v>138257.91196563517</v>
      </c>
      <c r="D9" s="68">
        <f t="shared" si="18"/>
        <v>53864.786743404744</v>
      </c>
      <c r="E9" s="68">
        <f t="shared" si="19"/>
        <v>26591.616870213817</v>
      </c>
      <c r="F9" s="68">
        <f t="shared" si="20"/>
        <v>57801.508352016601</v>
      </c>
      <c r="G9" s="68">
        <f t="shared" si="21"/>
        <v>165030.5974731328</v>
      </c>
      <c r="H9" s="68">
        <f t="shared" si="2"/>
        <v>202192.33962584531</v>
      </c>
      <c r="I9" s="68">
        <f t="shared" si="3"/>
        <v>92171.941310423455</v>
      </c>
      <c r="J9" s="68">
        <f t="shared" si="4"/>
        <v>35909.857828936496</v>
      </c>
      <c r="K9" s="68">
        <f t="shared" si="4"/>
        <v>17727.744580142546</v>
      </c>
      <c r="L9" s="68">
        <f t="shared" si="4"/>
        <v>38534.338901344403</v>
      </c>
      <c r="M9" s="68">
        <f t="shared" si="4"/>
        <v>110020.39831542186</v>
      </c>
      <c r="N9" s="68">
        <f>'5.1.1 Nakłady B+R'!J4</f>
        <v>16236.141062611483</v>
      </c>
      <c r="O9" s="68">
        <f t="shared" si="5"/>
        <v>5528.4060318192096</v>
      </c>
      <c r="P9" s="68">
        <f t="shared" si="14"/>
        <v>457.85917796564382</v>
      </c>
      <c r="Q9" s="68">
        <f t="shared" si="15"/>
        <v>1573.2820689670527</v>
      </c>
      <c r="R9" s="68">
        <f t="shared" si="16"/>
        <v>3497.2647848865131</v>
      </c>
      <c r="S9" s="68">
        <f t="shared" si="17"/>
        <v>10707.735030792273</v>
      </c>
      <c r="T9" s="68">
        <f t="shared" si="6"/>
        <v>521716.99012722471</v>
      </c>
      <c r="U9" s="68">
        <f t="shared" si="7"/>
        <v>235958.2593078778</v>
      </c>
      <c r="V9" s="68">
        <f t="shared" si="8"/>
        <v>90232.503750306874</v>
      </c>
      <c r="W9" s="68">
        <f t="shared" si="9"/>
        <v>45892.643519323414</v>
      </c>
      <c r="X9" s="68">
        <f t="shared" si="10"/>
        <v>99833.11203824752</v>
      </c>
      <c r="Y9" s="128">
        <f t="shared" si="11"/>
        <v>285758.73081934691</v>
      </c>
    </row>
    <row r="10" spans="1:25" x14ac:dyDescent="0.3">
      <c r="A10" s="126">
        <v>2028</v>
      </c>
      <c r="B10" s="68">
        <f t="shared" si="0"/>
        <v>313903.60726912483</v>
      </c>
      <c r="C10" s="68">
        <f t="shared" si="12"/>
        <v>143096.93888443237</v>
      </c>
      <c r="D10" s="68">
        <f t="shared" si="18"/>
        <v>55750.054279423908</v>
      </c>
      <c r="E10" s="68">
        <f t="shared" si="19"/>
        <v>27522.323460671298</v>
      </c>
      <c r="F10" s="68">
        <f t="shared" si="20"/>
        <v>59824.561144337174</v>
      </c>
      <c r="G10" s="68">
        <f t="shared" si="21"/>
        <v>170806.66838469243</v>
      </c>
      <c r="H10" s="68">
        <f t="shared" si="2"/>
        <v>209269.07151274986</v>
      </c>
      <c r="I10" s="68">
        <f t="shared" si="3"/>
        <v>95397.959256288246</v>
      </c>
      <c r="J10" s="68">
        <f t="shared" si="4"/>
        <v>37166.702852949275</v>
      </c>
      <c r="K10" s="68">
        <f t="shared" si="4"/>
        <v>18348.215640447532</v>
      </c>
      <c r="L10" s="68">
        <f t="shared" si="4"/>
        <v>39883.040762891447</v>
      </c>
      <c r="M10" s="68">
        <f t="shared" si="4"/>
        <v>113871.11225646161</v>
      </c>
      <c r="N10" s="68">
        <f>'5.1.1 Nakłady B+R'!K4</f>
        <v>17535.032347620399</v>
      </c>
      <c r="O10" s="68">
        <f t="shared" si="5"/>
        <v>5970.6785143647448</v>
      </c>
      <c r="P10" s="68">
        <f t="shared" si="14"/>
        <v>494.48791220289525</v>
      </c>
      <c r="Q10" s="68">
        <f t="shared" si="15"/>
        <v>1699.1446344844167</v>
      </c>
      <c r="R10" s="68">
        <f t="shared" si="16"/>
        <v>3777.0459676774335</v>
      </c>
      <c r="S10" s="68">
        <f t="shared" si="17"/>
        <v>11564.353833255653</v>
      </c>
      <c r="T10" s="68">
        <f t="shared" si="6"/>
        <v>540707.71112949506</v>
      </c>
      <c r="U10" s="68">
        <f t="shared" si="7"/>
        <v>244465.57665508537</v>
      </c>
      <c r="V10" s="68">
        <f t="shared" si="8"/>
        <v>93411.245044576077</v>
      </c>
      <c r="W10" s="68">
        <f t="shared" si="9"/>
        <v>47569.683735603248</v>
      </c>
      <c r="X10" s="68">
        <f t="shared" si="10"/>
        <v>103484.64787490605</v>
      </c>
      <c r="Y10" s="128">
        <f t="shared" si="11"/>
        <v>296242.13447440969</v>
      </c>
    </row>
    <row r="11" spans="1:25" x14ac:dyDescent="0.3">
      <c r="A11" s="126">
        <v>2029</v>
      </c>
      <c r="B11" s="68">
        <f t="shared" si="0"/>
        <v>324890.23352354416</v>
      </c>
      <c r="C11" s="68">
        <f t="shared" si="12"/>
        <v>148105.33174538752</v>
      </c>
      <c r="D11" s="68">
        <f t="shared" si="18"/>
        <v>57701.306179203741</v>
      </c>
      <c r="E11" s="68">
        <f t="shared" si="19"/>
        <v>28485.604781794791</v>
      </c>
      <c r="F11" s="68">
        <f t="shared" si="20"/>
        <v>61918.420784388974</v>
      </c>
      <c r="G11" s="68">
        <f t="shared" si="21"/>
        <v>176784.90177815664</v>
      </c>
      <c r="H11" s="68">
        <f t="shared" si="2"/>
        <v>216593.4890156961</v>
      </c>
      <c r="I11" s="68">
        <f t="shared" si="3"/>
        <v>98736.887830258347</v>
      </c>
      <c r="J11" s="68">
        <f t="shared" si="4"/>
        <v>38467.537452802499</v>
      </c>
      <c r="K11" s="68">
        <f t="shared" si="4"/>
        <v>18990.403187863194</v>
      </c>
      <c r="L11" s="68">
        <f t="shared" si="4"/>
        <v>41278.947189592647</v>
      </c>
      <c r="M11" s="68">
        <f t="shared" si="4"/>
        <v>117856.60118543776</v>
      </c>
      <c r="N11" s="68">
        <f>'5.1.1 Nakłady B+R'!L4</f>
        <v>18904.956749778241</v>
      </c>
      <c r="O11" s="68">
        <f t="shared" si="5"/>
        <v>6437.1377732994906</v>
      </c>
      <c r="P11" s="68">
        <f t="shared" si="14"/>
        <v>533.11978034374636</v>
      </c>
      <c r="Q11" s="68">
        <f t="shared" si="15"/>
        <v>1831.8903090535116</v>
      </c>
      <c r="R11" s="68">
        <f t="shared" si="16"/>
        <v>4072.1276839022325</v>
      </c>
      <c r="S11" s="68">
        <f t="shared" si="17"/>
        <v>12467.818976478749</v>
      </c>
      <c r="T11" s="68">
        <f t="shared" si="6"/>
        <v>560388.6792890185</v>
      </c>
      <c r="U11" s="68">
        <f t="shared" si="7"/>
        <v>253279.35734894534</v>
      </c>
      <c r="V11" s="68">
        <f t="shared" si="8"/>
        <v>96701.963412349985</v>
      </c>
      <c r="W11" s="68">
        <f t="shared" si="9"/>
        <v>49307.898278711495</v>
      </c>
      <c r="X11" s="68">
        <f t="shared" si="10"/>
        <v>107269.49565788386</v>
      </c>
      <c r="Y11" s="128">
        <f t="shared" si="11"/>
        <v>307109.32194007316</v>
      </c>
    </row>
    <row r="12" spans="1:25" s="46" customFormat="1" x14ac:dyDescent="0.3">
      <c r="A12" s="50" t="s">
        <v>63</v>
      </c>
      <c r="B12" s="51">
        <f>SUM(B2:B11)</f>
        <v>2797014.813413593</v>
      </c>
      <c r="C12" s="51">
        <f t="shared" ref="C12:G12" si="22">SUM(C2:C11)</f>
        <v>1275054.6618304648</v>
      </c>
      <c r="D12" s="51">
        <f t="shared" si="22"/>
        <v>496756.72422098357</v>
      </c>
      <c r="E12" s="51">
        <f t="shared" si="22"/>
        <v>245235.62213497949</v>
      </c>
      <c r="F12" s="51">
        <f t="shared" si="22"/>
        <v>533062.31547450193</v>
      </c>
      <c r="G12" s="51">
        <f t="shared" si="22"/>
        <v>1521960.1515831286</v>
      </c>
      <c r="H12" s="51">
        <f>SUM(H2:H11)</f>
        <v>1864676.5422757287</v>
      </c>
      <c r="I12" s="51">
        <f t="shared" ref="I12:M12" si="23">SUM(I2:I11)</f>
        <v>850036.44122030993</v>
      </c>
      <c r="J12" s="51">
        <f t="shared" si="23"/>
        <v>331171.14948065567</v>
      </c>
      <c r="K12" s="51">
        <f t="shared" si="23"/>
        <v>163490.41475665302</v>
      </c>
      <c r="L12" s="51">
        <f t="shared" si="23"/>
        <v>355374.8769830013</v>
      </c>
      <c r="M12" s="51">
        <f t="shared" si="23"/>
        <v>1014640.1010554191</v>
      </c>
      <c r="N12" s="51">
        <f>SUM(N2:N11)</f>
        <v>135297.79393957352</v>
      </c>
      <c r="O12" s="51">
        <f t="shared" ref="O12:S12" si="24">SUM(O2:O11)</f>
        <v>46068.898836424763</v>
      </c>
      <c r="P12" s="51">
        <f t="shared" si="24"/>
        <v>3815.3977890959727</v>
      </c>
      <c r="Q12" s="51">
        <f t="shared" si="24"/>
        <v>13110.356232744673</v>
      </c>
      <c r="R12" s="51">
        <f t="shared" si="24"/>
        <v>29143.144814584131</v>
      </c>
      <c r="S12" s="51">
        <f t="shared" si="24"/>
        <v>89228.895103148723</v>
      </c>
      <c r="T12" s="51">
        <f>SUM(T2:T11)</f>
        <v>4796989.1496288963</v>
      </c>
      <c r="U12" s="51">
        <f t="shared" ref="U12:Y12" si="25">SUM(U2:U11)</f>
        <v>2171160.0018871995</v>
      </c>
      <c r="V12" s="51">
        <f t="shared" si="25"/>
        <v>831743.27149073547</v>
      </c>
      <c r="W12" s="51">
        <f t="shared" si="25"/>
        <v>421836.39312437712</v>
      </c>
      <c r="X12" s="51">
        <f t="shared" si="25"/>
        <v>917580.33727208723</v>
      </c>
      <c r="Y12" s="52">
        <f t="shared" si="25"/>
        <v>2625829.1477416959</v>
      </c>
    </row>
    <row r="13" spans="1:25" x14ac:dyDescent="0.3"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x14ac:dyDescent="0.3">
      <c r="A14" s="32" t="s">
        <v>276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0"/>
    </row>
    <row r="16" spans="1:25" x14ac:dyDescent="0.3">
      <c r="A16" s="32" t="s">
        <v>278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0"/>
    </row>
    <row r="18" spans="1:25" x14ac:dyDescent="0.3">
      <c r="A18" s="32" t="s">
        <v>277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0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28"/>
  <sheetViews>
    <sheetView topLeftCell="U1" zoomScale="90" zoomScaleNormal="90" workbookViewId="0">
      <selection activeCell="T4" sqref="T4"/>
    </sheetView>
  </sheetViews>
  <sheetFormatPr defaultRowHeight="14.4" x14ac:dyDescent="0.3"/>
  <cols>
    <col min="1" max="1" width="27.109375" customWidth="1"/>
    <col min="2" max="2" width="21.5546875" customWidth="1"/>
    <col min="3" max="3" width="21.6640625" customWidth="1"/>
    <col min="4" max="4" width="18.33203125" customWidth="1"/>
    <col min="5" max="5" width="20.44140625" customWidth="1"/>
    <col min="6" max="6" width="20" customWidth="1"/>
    <col min="7" max="7" width="22.109375" customWidth="1"/>
    <col min="8" max="8" width="20.33203125" customWidth="1"/>
    <col min="9" max="9" width="18.33203125" customWidth="1"/>
    <col min="10" max="10" width="19.44140625" customWidth="1"/>
    <col min="11" max="11" width="14.5546875" customWidth="1"/>
    <col min="12" max="12" width="14.33203125" customWidth="1"/>
    <col min="13" max="13" width="15" customWidth="1"/>
    <col min="14" max="14" width="17.109375" customWidth="1"/>
    <col min="15" max="15" width="17.6640625" customWidth="1"/>
    <col min="16" max="16" width="16.5546875" customWidth="1"/>
    <col min="17" max="17" width="24" customWidth="1"/>
    <col min="18" max="18" width="20.88671875" customWidth="1"/>
    <col min="19" max="19" width="20.5546875" customWidth="1"/>
    <col min="20" max="20" width="23.88671875" customWidth="1"/>
    <col min="21" max="21" width="19.6640625" customWidth="1"/>
    <col min="22" max="22" width="18.44140625" customWidth="1"/>
    <col min="23" max="23" width="22.33203125" customWidth="1"/>
    <col min="24" max="24" width="20.109375" customWidth="1"/>
    <col min="25" max="25" width="21" customWidth="1"/>
    <col min="26" max="26" width="13.88671875" customWidth="1"/>
    <col min="27" max="27" width="14" customWidth="1"/>
    <col min="28" max="28" width="13.33203125" customWidth="1"/>
    <col min="29" max="29" width="11.33203125" customWidth="1"/>
    <col min="30" max="30" width="13.88671875" customWidth="1"/>
    <col min="31" max="31" width="14.44140625" customWidth="1"/>
    <col min="32" max="32" width="13.88671875" customWidth="1"/>
    <col min="33" max="33" width="13.33203125" customWidth="1"/>
  </cols>
  <sheetData>
    <row r="1" spans="1:33" s="58" customFormat="1" ht="34.5" customHeight="1" x14ac:dyDescent="0.3">
      <c r="A1" s="77" t="s">
        <v>24</v>
      </c>
      <c r="B1" s="77" t="s">
        <v>279</v>
      </c>
      <c r="C1" s="77" t="s">
        <v>280</v>
      </c>
      <c r="D1" s="77" t="s">
        <v>281</v>
      </c>
      <c r="E1" s="77" t="s">
        <v>282</v>
      </c>
      <c r="F1" s="77" t="s">
        <v>283</v>
      </c>
      <c r="G1" s="77" t="s">
        <v>284</v>
      </c>
      <c r="H1" s="77" t="s">
        <v>285</v>
      </c>
      <c r="I1" s="77" t="s">
        <v>286</v>
      </c>
      <c r="J1" s="77" t="s">
        <v>287</v>
      </c>
      <c r="K1" s="77" t="s">
        <v>288</v>
      </c>
      <c r="L1" s="77" t="s">
        <v>289</v>
      </c>
      <c r="M1" s="77" t="s">
        <v>290</v>
      </c>
      <c r="N1" s="77" t="s">
        <v>291</v>
      </c>
      <c r="O1" s="77" t="s">
        <v>292</v>
      </c>
      <c r="P1" s="77" t="s">
        <v>293</v>
      </c>
      <c r="Q1" s="276" t="s">
        <v>401</v>
      </c>
      <c r="R1" s="77" t="s">
        <v>402</v>
      </c>
      <c r="S1" s="77" t="s">
        <v>404</v>
      </c>
      <c r="T1" s="276" t="s">
        <v>403</v>
      </c>
      <c r="U1" s="77" t="s">
        <v>405</v>
      </c>
      <c r="V1" s="77" t="s">
        <v>406</v>
      </c>
      <c r="W1" s="80" t="s">
        <v>294</v>
      </c>
      <c r="X1" s="80" t="s">
        <v>295</v>
      </c>
      <c r="Y1" s="80" t="s">
        <v>296</v>
      </c>
      <c r="Z1" s="78" t="s">
        <v>112</v>
      </c>
      <c r="AA1" s="78" t="s">
        <v>114</v>
      </c>
      <c r="AB1" s="78" t="s">
        <v>115</v>
      </c>
      <c r="AC1" s="79" t="s">
        <v>116</v>
      </c>
      <c r="AD1" s="78" t="s">
        <v>118</v>
      </c>
      <c r="AE1" s="78" t="s">
        <v>119</v>
      </c>
      <c r="AF1" s="78" t="s">
        <v>120</v>
      </c>
      <c r="AG1" s="79" t="s">
        <v>121</v>
      </c>
    </row>
    <row r="2" spans="1:33" x14ac:dyDescent="0.3">
      <c r="A2" s="55"/>
      <c r="B2" s="75" t="s">
        <v>64</v>
      </c>
      <c r="C2" s="75" t="s">
        <v>23</v>
      </c>
      <c r="D2" s="75" t="s">
        <v>63</v>
      </c>
      <c r="E2" s="75" t="s">
        <v>64</v>
      </c>
      <c r="F2" s="75" t="s">
        <v>23</v>
      </c>
      <c r="G2" s="75" t="s">
        <v>63</v>
      </c>
      <c r="H2" s="75" t="s">
        <v>64</v>
      </c>
      <c r="I2" s="75" t="s">
        <v>23</v>
      </c>
      <c r="J2" s="75" t="s">
        <v>63</v>
      </c>
      <c r="K2" s="75" t="s">
        <v>64</v>
      </c>
      <c r="L2" s="75" t="s">
        <v>23</v>
      </c>
      <c r="M2" s="75" t="s">
        <v>63</v>
      </c>
      <c r="N2" s="75" t="s">
        <v>64</v>
      </c>
      <c r="O2" s="75" t="s">
        <v>23</v>
      </c>
      <c r="P2" s="75" t="s">
        <v>63</v>
      </c>
      <c r="Q2" s="76" t="s">
        <v>64</v>
      </c>
      <c r="R2" s="76" t="s">
        <v>23</v>
      </c>
      <c r="S2" s="76" t="s">
        <v>63</v>
      </c>
      <c r="T2" s="76" t="s">
        <v>64</v>
      </c>
      <c r="U2" s="76" t="s">
        <v>23</v>
      </c>
      <c r="V2" s="76" t="s">
        <v>63</v>
      </c>
      <c r="W2" s="76" t="s">
        <v>64</v>
      </c>
      <c r="X2" s="76" t="s">
        <v>23</v>
      </c>
      <c r="Y2" s="76" t="s">
        <v>63</v>
      </c>
      <c r="Z2" s="277">
        <v>0.49</v>
      </c>
      <c r="AA2" s="277">
        <v>0.25</v>
      </c>
      <c r="AB2" s="277">
        <v>0.19</v>
      </c>
      <c r="AC2" s="277">
        <v>7.0000000000000007E-2</v>
      </c>
      <c r="AD2" s="277">
        <v>0.59</v>
      </c>
      <c r="AE2" s="277">
        <v>0.16</v>
      </c>
      <c r="AF2" s="277">
        <v>0.16</v>
      </c>
      <c r="AG2" s="278">
        <f>100%-59%-16%-16%</f>
        <v>0.09</v>
      </c>
    </row>
    <row r="3" spans="1:33" x14ac:dyDescent="0.3">
      <c r="A3" s="71"/>
      <c r="B3" s="56">
        <v>2020</v>
      </c>
      <c r="C3" s="56">
        <v>2020</v>
      </c>
      <c r="D3" s="56">
        <v>2020</v>
      </c>
      <c r="E3" s="56">
        <v>2020</v>
      </c>
      <c r="F3" s="56">
        <v>2020</v>
      </c>
      <c r="G3" s="56">
        <v>2020</v>
      </c>
      <c r="H3" s="56">
        <v>2020</v>
      </c>
      <c r="I3" s="56">
        <v>2020</v>
      </c>
      <c r="J3" s="56">
        <v>2020</v>
      </c>
      <c r="K3" s="56">
        <v>2020</v>
      </c>
      <c r="L3" s="56">
        <v>2020</v>
      </c>
      <c r="M3" s="56">
        <v>2020</v>
      </c>
      <c r="N3" s="56">
        <v>2020</v>
      </c>
      <c r="O3" s="56">
        <v>2020</v>
      </c>
      <c r="P3" s="56">
        <v>2020</v>
      </c>
      <c r="Q3" s="56">
        <v>2020</v>
      </c>
      <c r="R3" s="56">
        <v>2020</v>
      </c>
      <c r="S3" s="56">
        <v>2020</v>
      </c>
      <c r="T3" s="56">
        <v>2020</v>
      </c>
      <c r="U3" s="56">
        <v>2020</v>
      </c>
      <c r="V3" s="56">
        <v>2020</v>
      </c>
      <c r="W3" s="56">
        <v>2020</v>
      </c>
      <c r="X3" s="56">
        <v>2020</v>
      </c>
      <c r="Y3" s="56">
        <v>2020</v>
      </c>
      <c r="Z3" s="56">
        <v>2020</v>
      </c>
      <c r="AA3" s="56">
        <v>2020</v>
      </c>
      <c r="AB3" s="56">
        <v>2020</v>
      </c>
      <c r="AC3" s="56">
        <v>2020</v>
      </c>
      <c r="AD3" s="56">
        <v>2020</v>
      </c>
      <c r="AE3" s="56">
        <v>2020</v>
      </c>
      <c r="AF3" s="56">
        <v>2020</v>
      </c>
      <c r="AG3" s="72">
        <v>2020</v>
      </c>
    </row>
    <row r="4" spans="1:33" ht="15" thickBot="1" x14ac:dyDescent="0.35">
      <c r="A4" s="73" t="s">
        <v>95</v>
      </c>
      <c r="B4" s="59">
        <f>'5.1.1 Nakłady_razem'!AM2/1000</f>
        <v>108879.86492225439</v>
      </c>
      <c r="C4" s="59">
        <f>'5.1.1 Nakłady_razem'!AQ2/1000</f>
        <v>129963.69542583442</v>
      </c>
      <c r="D4" s="59">
        <f>SUM(B4:C4)</f>
        <v>238843.56034808879</v>
      </c>
      <c r="E4" s="59">
        <f>B4*40/60</f>
        <v>72586.57661483626</v>
      </c>
      <c r="F4" s="59">
        <f>C4*40/60</f>
        <v>86642.463617222937</v>
      </c>
      <c r="G4" s="59">
        <f>D4*40/60</f>
        <v>159229.0402320592</v>
      </c>
      <c r="H4" s="59">
        <f>SUM(B4,E4)</f>
        <v>181466.44153709064</v>
      </c>
      <c r="I4" s="59">
        <f>C4+F4</f>
        <v>216606.15904305736</v>
      </c>
      <c r="J4" s="60">
        <f>SUM(H4:I4)</f>
        <v>398072.60058014799</v>
      </c>
      <c r="K4" s="61">
        <f>'5.1.1 Nakłady_razem'!BE2/1000</f>
        <v>3028.6539796319998</v>
      </c>
      <c r="L4" s="61">
        <f>'5.1.1 Nakłady_razem'!BI2/1000</f>
        <v>5866.0713643680001</v>
      </c>
      <c r="M4" s="61">
        <f>SUM(K4:L4)</f>
        <v>8894.7253440000004</v>
      </c>
      <c r="N4" s="62">
        <f>H4+K4</f>
        <v>184495.09551672265</v>
      </c>
      <c r="O4" s="62">
        <f>I4+L4</f>
        <v>222472.23040742535</v>
      </c>
      <c r="P4" s="62">
        <f>SUM(N4:O4)</f>
        <v>406967.32592414797</v>
      </c>
      <c r="Q4" s="64">
        <f t="shared" ref="Q4:Q20" si="0">H4*29.7%</f>
        <v>53895.533136515915</v>
      </c>
      <c r="R4" s="64">
        <f t="shared" ref="R4:R20" si="1">I4*29.7%</f>
        <v>64332.029235788032</v>
      </c>
      <c r="S4" s="64">
        <f>SUM(Q4:R4)</f>
        <v>118227.56237230395</v>
      </c>
      <c r="T4" s="74">
        <f t="shared" ref="T4:T20" si="2">K4*22.6%</f>
        <v>684.47579939683203</v>
      </c>
      <c r="U4" s="74">
        <f t="shared" ref="U4:U20" si="3">L4*22.6%</f>
        <v>1325.7321283471681</v>
      </c>
      <c r="V4" s="74">
        <f>SUM(T4:U4)</f>
        <v>2010.2079277440002</v>
      </c>
      <c r="W4" s="64">
        <f>SUM(Q4,T4)</f>
        <v>54580.008935912745</v>
      </c>
      <c r="X4" s="64">
        <f>R4+U4</f>
        <v>65657.761364135193</v>
      </c>
      <c r="Y4" s="65">
        <f>SUM(W4:X4)</f>
        <v>120237.77030004794</v>
      </c>
      <c r="Z4" s="66">
        <f t="shared" ref="Z4:Z20" si="4">W4*Z$2</f>
        <v>26744.204378597246</v>
      </c>
      <c r="AA4" s="67">
        <f t="shared" ref="AA4:AA20" si="5">W4*AA$2</f>
        <v>13645.002233978186</v>
      </c>
      <c r="AB4" s="68">
        <f t="shared" ref="AB4:AB20" si="6">W4*AB$2</f>
        <v>10370.201697823422</v>
      </c>
      <c r="AC4" s="69">
        <f t="shared" ref="AC4:AC20" si="7">W4*AC$2</f>
        <v>3820.6006255138927</v>
      </c>
      <c r="AD4" s="66">
        <f t="shared" ref="AD4:AD20" si="8">X4*AD$2</f>
        <v>38738.079204839763</v>
      </c>
      <c r="AE4" s="67">
        <f t="shared" ref="AE4:AE20" si="9">X4*AE$2</f>
        <v>10505.241818261631</v>
      </c>
      <c r="AF4" s="68">
        <f t="shared" ref="AF4:AF20" si="10">X4*AF$2</f>
        <v>10505.241818261631</v>
      </c>
      <c r="AG4" s="70">
        <f t="shared" ref="AG4:AG20" si="11">X4*AG$2</f>
        <v>5909.1985227721671</v>
      </c>
    </row>
    <row r="5" spans="1:33" ht="22.5" customHeight="1" thickBot="1" x14ac:dyDescent="0.35">
      <c r="A5" s="73" t="s">
        <v>96</v>
      </c>
      <c r="B5" s="59">
        <f>'5.1.1 Nakłady_razem'!AM3/1000</f>
        <v>8531.4950144631985</v>
      </c>
      <c r="C5" s="59">
        <f>'5.1.1 Nakłady_razem'!AQ3/1000</f>
        <v>10061.002767399999</v>
      </c>
      <c r="D5" s="59">
        <f t="shared" ref="D5:D20" si="12">SUM(B5:C5)</f>
        <v>18592.497781863196</v>
      </c>
      <c r="E5" s="59">
        <f t="shared" ref="E5:E20" si="13">B5*40/60</f>
        <v>5687.6633429754665</v>
      </c>
      <c r="F5" s="59">
        <f t="shared" ref="F5:F20" si="14">C5*40/60</f>
        <v>6707.3351782666668</v>
      </c>
      <c r="G5" s="59">
        <f t="shared" ref="G5:G20" si="15">D5*40/60</f>
        <v>12394.998521242132</v>
      </c>
      <c r="H5" s="59">
        <f t="shared" ref="H5:H20" si="16">SUM(B5,E5)</f>
        <v>14219.158357438664</v>
      </c>
      <c r="I5" s="59">
        <f t="shared" ref="I5:I20" si="17">C5+F5</f>
        <v>16768.337945666666</v>
      </c>
      <c r="J5" s="60">
        <f t="shared" ref="J5:J20" si="18">SUM(H5:I5)</f>
        <v>30987.49630310533</v>
      </c>
      <c r="K5" s="61">
        <f>'5.1.1 Nakłady_razem'!BE3/1000</f>
        <v>250.46844948</v>
      </c>
      <c r="L5" s="61">
        <f>'5.1.1 Nakłady_razem'!BI3/1000</f>
        <v>485.12171052000002</v>
      </c>
      <c r="M5" s="61">
        <f t="shared" ref="M5:M20" si="19">SUM(K5:L5)</f>
        <v>735.59015999999997</v>
      </c>
      <c r="N5" s="62">
        <f t="shared" ref="N5:N20" si="20">H5+K5</f>
        <v>14469.626806918664</v>
      </c>
      <c r="O5" s="62">
        <f t="shared" ref="O5:O20" si="21">I5+L5</f>
        <v>17253.459656186667</v>
      </c>
      <c r="P5" s="62">
        <f t="shared" ref="P5:P19" si="22">SUM(N5:O5)</f>
        <v>31723.086463105334</v>
      </c>
      <c r="Q5" s="63">
        <f t="shared" si="0"/>
        <v>4223.0900321592826</v>
      </c>
      <c r="R5" s="64">
        <f t="shared" si="1"/>
        <v>4980.1963698629997</v>
      </c>
      <c r="S5" s="63">
        <f t="shared" ref="S5:S20" si="23">SUM(Q5:R5)</f>
        <v>9203.2864020222823</v>
      </c>
      <c r="T5" s="64">
        <f t="shared" si="2"/>
        <v>56.605869582480004</v>
      </c>
      <c r="U5" s="64">
        <f t="shared" si="3"/>
        <v>109.63750657752001</v>
      </c>
      <c r="V5" s="64">
        <f t="shared" ref="V5:V20" si="24">SUM(T5:U5)</f>
        <v>166.24337616000003</v>
      </c>
      <c r="W5" s="64">
        <f t="shared" ref="W5:W20" si="25">SUM(Q5,T5)</f>
        <v>4279.695901741763</v>
      </c>
      <c r="X5" s="64">
        <f t="shared" ref="X5:X20" si="26">R5+U5</f>
        <v>5089.8338764405198</v>
      </c>
      <c r="Y5" s="65">
        <f t="shared" ref="Y5:Y20" si="27">SUM(W5:X5)</f>
        <v>9369.5297781822828</v>
      </c>
      <c r="Z5" s="66">
        <f t="shared" si="4"/>
        <v>2097.050991853464</v>
      </c>
      <c r="AA5" s="67">
        <f t="shared" si="5"/>
        <v>1069.9239754354408</v>
      </c>
      <c r="AB5" s="68">
        <f t="shared" si="6"/>
        <v>813.14222133093494</v>
      </c>
      <c r="AC5" s="69">
        <f t="shared" si="7"/>
        <v>299.57871312192344</v>
      </c>
      <c r="AD5" s="66">
        <f t="shared" si="8"/>
        <v>3003.0019870999067</v>
      </c>
      <c r="AE5" s="67">
        <f t="shared" si="9"/>
        <v>814.37342023048313</v>
      </c>
      <c r="AF5" s="68">
        <f t="shared" si="10"/>
        <v>814.37342023048313</v>
      </c>
      <c r="AG5" s="70">
        <f t="shared" si="11"/>
        <v>458.08504887964676</v>
      </c>
    </row>
    <row r="6" spans="1:33" ht="32.25" customHeight="1" thickBot="1" x14ac:dyDescent="0.35">
      <c r="A6" s="73" t="s">
        <v>97</v>
      </c>
      <c r="B6" s="59">
        <f>'5.1.1 Nakłady_razem'!AM4/1000</f>
        <v>4421.0378138783999</v>
      </c>
      <c r="C6" s="59">
        <f>'5.1.1 Nakłady_razem'!AQ4/1000</f>
        <v>2598.9080379495999</v>
      </c>
      <c r="D6" s="59">
        <f t="shared" si="12"/>
        <v>7019.9458518279998</v>
      </c>
      <c r="E6" s="59">
        <f t="shared" si="13"/>
        <v>2947.3585425855999</v>
      </c>
      <c r="F6" s="59">
        <f t="shared" si="14"/>
        <v>1732.6053586330668</v>
      </c>
      <c r="G6" s="59">
        <f t="shared" si="15"/>
        <v>4679.9639012186663</v>
      </c>
      <c r="H6" s="59">
        <f t="shared" si="16"/>
        <v>7368.3963564639998</v>
      </c>
      <c r="I6" s="59">
        <f t="shared" si="17"/>
        <v>4331.5133965826662</v>
      </c>
      <c r="J6" s="60">
        <f t="shared" si="18"/>
        <v>11699.909753046666</v>
      </c>
      <c r="K6" s="61">
        <f>'5.1.1 Nakłady_razem'!BE4/1000</f>
        <v>130.335734664</v>
      </c>
      <c r="L6" s="61">
        <f>'5.1.1 Nakłady_razem'!BI4/1000</f>
        <v>252.441753336</v>
      </c>
      <c r="M6" s="61">
        <f t="shared" si="19"/>
        <v>382.77748800000001</v>
      </c>
      <c r="N6" s="62">
        <f t="shared" si="20"/>
        <v>7498.7320911279994</v>
      </c>
      <c r="O6" s="62">
        <f t="shared" si="21"/>
        <v>4583.9551499186664</v>
      </c>
      <c r="P6" s="62">
        <f t="shared" si="22"/>
        <v>12082.687241046666</v>
      </c>
      <c r="Q6" s="63">
        <f t="shared" si="0"/>
        <v>2188.4137178698079</v>
      </c>
      <c r="R6" s="64">
        <f t="shared" si="1"/>
        <v>1286.4594787850517</v>
      </c>
      <c r="S6" s="63">
        <f t="shared" si="23"/>
        <v>3474.8731966548594</v>
      </c>
      <c r="T6" s="64">
        <f t="shared" si="2"/>
        <v>29.455876034064001</v>
      </c>
      <c r="U6" s="64">
        <f t="shared" si="3"/>
        <v>57.051836253936003</v>
      </c>
      <c r="V6" s="64">
        <f t="shared" si="24"/>
        <v>86.507712288000008</v>
      </c>
      <c r="W6" s="64">
        <f t="shared" si="25"/>
        <v>2217.8695939038721</v>
      </c>
      <c r="X6" s="64">
        <f t="shared" si="26"/>
        <v>1343.5113150389877</v>
      </c>
      <c r="Y6" s="65">
        <f t="shared" si="27"/>
        <v>3561.3809089428596</v>
      </c>
      <c r="Z6" s="66">
        <f t="shared" si="4"/>
        <v>1086.7561010128973</v>
      </c>
      <c r="AA6" s="67">
        <f t="shared" si="5"/>
        <v>554.46739847596803</v>
      </c>
      <c r="AB6" s="68">
        <f t="shared" si="6"/>
        <v>421.39522284173569</v>
      </c>
      <c r="AC6" s="69">
        <f t="shared" si="7"/>
        <v>155.25087157327107</v>
      </c>
      <c r="AD6" s="66">
        <f t="shared" si="8"/>
        <v>792.67167587300275</v>
      </c>
      <c r="AE6" s="67">
        <f t="shared" si="9"/>
        <v>214.96181040623804</v>
      </c>
      <c r="AF6" s="68">
        <f t="shared" si="10"/>
        <v>214.96181040623804</v>
      </c>
      <c r="AG6" s="70">
        <f t="shared" si="11"/>
        <v>120.91601835350889</v>
      </c>
    </row>
    <row r="7" spans="1:33" ht="25.5" customHeight="1" thickBot="1" x14ac:dyDescent="0.35">
      <c r="A7" s="73" t="s">
        <v>98</v>
      </c>
      <c r="B7" s="59">
        <f>'5.1.1 Nakłady_razem'!AM5/1000</f>
        <v>3180.9603213128003</v>
      </c>
      <c r="C7" s="59">
        <f>'5.1.1 Nakłady_razem'!AQ5/1000</f>
        <v>4148.3019168448</v>
      </c>
      <c r="D7" s="59">
        <f t="shared" si="12"/>
        <v>7329.2622381576002</v>
      </c>
      <c r="E7" s="59">
        <f t="shared" si="13"/>
        <v>2120.6402142085335</v>
      </c>
      <c r="F7" s="59">
        <f t="shared" si="14"/>
        <v>2765.5346112298666</v>
      </c>
      <c r="G7" s="59">
        <f t="shared" si="15"/>
        <v>4886.1748254384001</v>
      </c>
      <c r="H7" s="59">
        <f t="shared" si="16"/>
        <v>5301.6005355213338</v>
      </c>
      <c r="I7" s="59">
        <f t="shared" si="17"/>
        <v>6913.8365280746666</v>
      </c>
      <c r="J7" s="60">
        <f t="shared" si="18"/>
        <v>12215.437063596</v>
      </c>
      <c r="K7" s="61">
        <f>'5.1.1 Nakłady_razem'!BE5/1000</f>
        <v>113.922468792</v>
      </c>
      <c r="L7" s="61">
        <f>'5.1.1 Nakłady_razem'!BI5/1000</f>
        <v>220.651595208</v>
      </c>
      <c r="M7" s="61">
        <f t="shared" si="19"/>
        <v>334.57406400000002</v>
      </c>
      <c r="N7" s="62">
        <f t="shared" si="20"/>
        <v>5415.5230043133333</v>
      </c>
      <c r="O7" s="62">
        <f t="shared" si="21"/>
        <v>7134.4881232826665</v>
      </c>
      <c r="P7" s="62">
        <f t="shared" si="22"/>
        <v>12550.011127596001</v>
      </c>
      <c r="Q7" s="63">
        <f t="shared" si="0"/>
        <v>1574.5753590498362</v>
      </c>
      <c r="R7" s="64">
        <f t="shared" si="1"/>
        <v>2053.4094488381761</v>
      </c>
      <c r="S7" s="63">
        <f t="shared" si="23"/>
        <v>3627.9848078880123</v>
      </c>
      <c r="T7" s="64">
        <f t="shared" si="2"/>
        <v>25.746477946992002</v>
      </c>
      <c r="U7" s="64">
        <f t="shared" si="3"/>
        <v>49.867260517007999</v>
      </c>
      <c r="V7" s="64">
        <f t="shared" si="24"/>
        <v>75.613738463999994</v>
      </c>
      <c r="W7" s="64">
        <f t="shared" si="25"/>
        <v>1600.3218369968281</v>
      </c>
      <c r="X7" s="64">
        <f t="shared" si="26"/>
        <v>2103.2767093551843</v>
      </c>
      <c r="Y7" s="65">
        <f t="shared" si="27"/>
        <v>3703.5985463520124</v>
      </c>
      <c r="Z7" s="66">
        <f t="shared" si="4"/>
        <v>784.15770012844575</v>
      </c>
      <c r="AA7" s="67">
        <f t="shared" si="5"/>
        <v>400.08045924920702</v>
      </c>
      <c r="AB7" s="68">
        <f t="shared" si="6"/>
        <v>304.06114902939737</v>
      </c>
      <c r="AC7" s="69">
        <f t="shared" si="7"/>
        <v>112.02252858977798</v>
      </c>
      <c r="AD7" s="66">
        <f t="shared" si="8"/>
        <v>1240.9332585195586</v>
      </c>
      <c r="AE7" s="67">
        <f t="shared" si="9"/>
        <v>336.52427349682949</v>
      </c>
      <c r="AF7" s="68">
        <f t="shared" si="10"/>
        <v>336.52427349682949</v>
      </c>
      <c r="AG7" s="70">
        <f t="shared" si="11"/>
        <v>189.29490384196657</v>
      </c>
    </row>
    <row r="8" spans="1:33" ht="21" customHeight="1" thickBot="1" x14ac:dyDescent="0.35">
      <c r="A8" s="73" t="s">
        <v>99</v>
      </c>
      <c r="B8" s="59">
        <f>'5.1.1 Nakłady_razem'!AM6/1000</f>
        <v>2095.5475893247999</v>
      </c>
      <c r="C8" s="59">
        <f>'5.1.1 Nakłady_razem'!AQ6/1000</f>
        <v>1416.8448809216002</v>
      </c>
      <c r="D8" s="59">
        <f t="shared" si="12"/>
        <v>3512.3924702464001</v>
      </c>
      <c r="E8" s="59">
        <f t="shared" si="13"/>
        <v>1397.0317262165333</v>
      </c>
      <c r="F8" s="59">
        <f t="shared" si="14"/>
        <v>944.56325394773353</v>
      </c>
      <c r="G8" s="59">
        <f t="shared" si="15"/>
        <v>2341.5949801642664</v>
      </c>
      <c r="H8" s="59">
        <f t="shared" si="16"/>
        <v>3492.579315541333</v>
      </c>
      <c r="I8" s="59">
        <f t="shared" si="17"/>
        <v>2361.4081348693335</v>
      </c>
      <c r="J8" s="60">
        <f t="shared" si="18"/>
        <v>5853.9874504106665</v>
      </c>
      <c r="K8" s="61">
        <f>'5.1.1 Nakłady_razem'!BE6/1000</f>
        <v>64.963330343999985</v>
      </c>
      <c r="L8" s="61">
        <f>'5.1.1 Nakłady_razem'!BI6/1000</f>
        <v>125.82471765599998</v>
      </c>
      <c r="M8" s="61">
        <f t="shared" si="19"/>
        <v>190.78804799999995</v>
      </c>
      <c r="N8" s="62">
        <f>H8+K8</f>
        <v>3557.5426458853331</v>
      </c>
      <c r="O8" s="62">
        <f t="shared" si="21"/>
        <v>2487.2328525253333</v>
      </c>
      <c r="P8" s="62">
        <f t="shared" si="22"/>
        <v>6044.7754984106668</v>
      </c>
      <c r="Q8" s="63">
        <f t="shared" si="0"/>
        <v>1037.2960567157759</v>
      </c>
      <c r="R8" s="64">
        <f t="shared" si="1"/>
        <v>701.33821605619198</v>
      </c>
      <c r="S8" s="63">
        <f t="shared" si="23"/>
        <v>1738.634272771968</v>
      </c>
      <c r="T8" s="64">
        <f t="shared" si="2"/>
        <v>14.681712657743997</v>
      </c>
      <c r="U8" s="64">
        <f t="shared" si="3"/>
        <v>28.436386190255995</v>
      </c>
      <c r="V8" s="64">
        <f t="shared" si="24"/>
        <v>43.118098847999988</v>
      </c>
      <c r="W8" s="64">
        <f t="shared" si="25"/>
        <v>1051.9777693735198</v>
      </c>
      <c r="X8" s="64">
        <f t="shared" si="26"/>
        <v>729.77460224644801</v>
      </c>
      <c r="Y8" s="65">
        <f t="shared" si="27"/>
        <v>1781.7523716199678</v>
      </c>
      <c r="Z8" s="66">
        <f t="shared" si="4"/>
        <v>515.46910699302464</v>
      </c>
      <c r="AA8" s="67">
        <f t="shared" si="5"/>
        <v>262.99444234337994</v>
      </c>
      <c r="AB8" s="68">
        <f t="shared" si="6"/>
        <v>199.87577618096876</v>
      </c>
      <c r="AC8" s="69">
        <f t="shared" si="7"/>
        <v>73.638443856146395</v>
      </c>
      <c r="AD8" s="66">
        <f t="shared" si="8"/>
        <v>430.56701532540433</v>
      </c>
      <c r="AE8" s="67">
        <f t="shared" si="9"/>
        <v>116.76393635943168</v>
      </c>
      <c r="AF8" s="68">
        <f t="shared" si="10"/>
        <v>116.76393635943168</v>
      </c>
      <c r="AG8" s="70">
        <f t="shared" si="11"/>
        <v>65.679714202180321</v>
      </c>
    </row>
    <row r="9" spans="1:33" ht="15" thickBot="1" x14ac:dyDescent="0.35">
      <c r="A9" s="73" t="s">
        <v>100</v>
      </c>
      <c r="B9" s="59">
        <f>'5.1.1 Nakłady_razem'!AM7/1000</f>
        <v>4905.3921698599997</v>
      </c>
      <c r="C9" s="59">
        <f>'5.1.1 Nakłady_razem'!AQ7/1000</f>
        <v>9903.031314477601</v>
      </c>
      <c r="D9" s="59">
        <f t="shared" si="12"/>
        <v>14808.4234843376</v>
      </c>
      <c r="E9" s="59">
        <f t="shared" si="13"/>
        <v>3270.2614465733332</v>
      </c>
      <c r="F9" s="59">
        <f t="shared" si="14"/>
        <v>6602.020876318401</v>
      </c>
      <c r="G9" s="59">
        <f t="shared" si="15"/>
        <v>9872.2823228917332</v>
      </c>
      <c r="H9" s="59">
        <f t="shared" si="16"/>
        <v>8175.6536164333329</v>
      </c>
      <c r="I9" s="59">
        <f t="shared" si="17"/>
        <v>16505.052190796003</v>
      </c>
      <c r="J9" s="60">
        <f t="shared" si="18"/>
        <v>24680.705807229337</v>
      </c>
      <c r="K9" s="61">
        <f>'5.1.1 Nakłady_razem'!BE7/1000</f>
        <v>182.80576043999997</v>
      </c>
      <c r="L9" s="61">
        <f>'5.1.1 Nakłady_razem'!BI7/1000</f>
        <v>354.06871955999998</v>
      </c>
      <c r="M9" s="61">
        <f t="shared" si="19"/>
        <v>536.87447999999995</v>
      </c>
      <c r="N9" s="62">
        <f t="shared" si="20"/>
        <v>8358.4593768733321</v>
      </c>
      <c r="O9" s="62">
        <f t="shared" si="21"/>
        <v>16859.120910356003</v>
      </c>
      <c r="P9" s="62">
        <f t="shared" si="22"/>
        <v>25217.580287229335</v>
      </c>
      <c r="Q9" s="63">
        <f t="shared" si="0"/>
        <v>2428.1691240806999</v>
      </c>
      <c r="R9" s="64">
        <f t="shared" si="1"/>
        <v>4902.0005006664123</v>
      </c>
      <c r="S9" s="63">
        <f t="shared" si="23"/>
        <v>7330.1696247471118</v>
      </c>
      <c r="T9" s="64">
        <f t="shared" si="2"/>
        <v>41.314101859439994</v>
      </c>
      <c r="U9" s="64">
        <f t="shared" si="3"/>
        <v>80.019530620559991</v>
      </c>
      <c r="V9" s="64">
        <f t="shared" si="24"/>
        <v>121.33363247999998</v>
      </c>
      <c r="W9" s="64">
        <f t="shared" si="25"/>
        <v>2469.4832259401401</v>
      </c>
      <c r="X9" s="64">
        <f t="shared" si="26"/>
        <v>4982.020031286972</v>
      </c>
      <c r="Y9" s="65">
        <f t="shared" si="27"/>
        <v>7451.503257227112</v>
      </c>
      <c r="Z9" s="66">
        <f t="shared" si="4"/>
        <v>1210.0467807106686</v>
      </c>
      <c r="AA9" s="67">
        <f t="shared" si="5"/>
        <v>617.37080648503502</v>
      </c>
      <c r="AB9" s="68">
        <f t="shared" si="6"/>
        <v>469.20181292862662</v>
      </c>
      <c r="AC9" s="69">
        <f t="shared" si="7"/>
        <v>172.86382581580983</v>
      </c>
      <c r="AD9" s="66">
        <f t="shared" si="8"/>
        <v>2939.3918184593135</v>
      </c>
      <c r="AE9" s="67">
        <f t="shared" si="9"/>
        <v>797.12320500591557</v>
      </c>
      <c r="AF9" s="68">
        <f t="shared" si="10"/>
        <v>797.12320500591557</v>
      </c>
      <c r="AG9" s="70">
        <f t="shared" si="11"/>
        <v>448.38180281582748</v>
      </c>
    </row>
    <row r="10" spans="1:33" ht="21" customHeight="1" thickBot="1" x14ac:dyDescent="0.35">
      <c r="A10" s="73" t="s">
        <v>101</v>
      </c>
      <c r="B10" s="59">
        <f>'5.1.1 Nakłady_razem'!AM8/1000</f>
        <v>8161.7004182272003</v>
      </c>
      <c r="C10" s="59">
        <f>'5.1.1 Nakłady_razem'!AQ8/1000</f>
        <v>7937.4396896392009</v>
      </c>
      <c r="D10" s="59">
        <f t="shared" si="12"/>
        <v>16099.140107866402</v>
      </c>
      <c r="E10" s="59">
        <f t="shared" si="13"/>
        <v>5441.1336121514669</v>
      </c>
      <c r="F10" s="59">
        <f t="shared" si="14"/>
        <v>5291.6264597594673</v>
      </c>
      <c r="G10" s="59">
        <f t="shared" si="15"/>
        <v>10732.760071910936</v>
      </c>
      <c r="H10" s="59">
        <f t="shared" si="16"/>
        <v>13602.834030378668</v>
      </c>
      <c r="I10" s="59">
        <f t="shared" si="17"/>
        <v>13229.066149398668</v>
      </c>
      <c r="J10" s="60">
        <f t="shared" si="18"/>
        <v>26831.900179777338</v>
      </c>
      <c r="K10" s="61">
        <f>'5.1.1 Nakłady_razem'!BE8/1000</f>
        <v>245.86802208</v>
      </c>
      <c r="L10" s="61">
        <f>'5.1.1 Nakłady_razem'!BI8/1000</f>
        <v>476.21133791999995</v>
      </c>
      <c r="M10" s="61">
        <f t="shared" si="19"/>
        <v>722.07935999999995</v>
      </c>
      <c r="N10" s="62">
        <f t="shared" si="20"/>
        <v>13848.702052458668</v>
      </c>
      <c r="O10" s="62">
        <f t="shared" si="21"/>
        <v>13705.277487318668</v>
      </c>
      <c r="P10" s="62">
        <f t="shared" si="22"/>
        <v>27553.979539777334</v>
      </c>
      <c r="Q10" s="63">
        <f t="shared" si="0"/>
        <v>4040.0417070224644</v>
      </c>
      <c r="R10" s="64">
        <f t="shared" si="1"/>
        <v>3929.0326463714041</v>
      </c>
      <c r="S10" s="63">
        <f t="shared" si="23"/>
        <v>7969.0743533938685</v>
      </c>
      <c r="T10" s="64">
        <f t="shared" si="2"/>
        <v>55.566172990080005</v>
      </c>
      <c r="U10" s="64">
        <f t="shared" si="3"/>
        <v>107.62376236991999</v>
      </c>
      <c r="V10" s="64">
        <f t="shared" si="24"/>
        <v>163.18993535999999</v>
      </c>
      <c r="W10" s="64">
        <f t="shared" si="25"/>
        <v>4095.6078800125442</v>
      </c>
      <c r="X10" s="64">
        <f t="shared" si="26"/>
        <v>4036.656408741324</v>
      </c>
      <c r="Y10" s="65">
        <f t="shared" si="27"/>
        <v>8132.2642887538677</v>
      </c>
      <c r="Z10" s="66">
        <f t="shared" si="4"/>
        <v>2006.8478612061467</v>
      </c>
      <c r="AA10" s="67">
        <f t="shared" si="5"/>
        <v>1023.9019700031361</v>
      </c>
      <c r="AB10" s="68">
        <f t="shared" si="6"/>
        <v>778.16549720238345</v>
      </c>
      <c r="AC10" s="69">
        <f t="shared" si="7"/>
        <v>286.69255160087812</v>
      </c>
      <c r="AD10" s="66">
        <f t="shared" si="8"/>
        <v>2381.6272811573808</v>
      </c>
      <c r="AE10" s="67">
        <f t="shared" si="9"/>
        <v>645.86502539861181</v>
      </c>
      <c r="AF10" s="68">
        <f t="shared" si="10"/>
        <v>645.86502539861181</v>
      </c>
      <c r="AG10" s="70">
        <f t="shared" si="11"/>
        <v>363.29907678671913</v>
      </c>
    </row>
    <row r="11" spans="1:33" ht="21.75" customHeight="1" thickBot="1" x14ac:dyDescent="0.35">
      <c r="A11" s="73" t="s">
        <v>102</v>
      </c>
      <c r="B11" s="59">
        <f>'5.1.1 Nakłady_razem'!AM9/1000</f>
        <v>29749.146404962397</v>
      </c>
      <c r="C11" s="59">
        <f>'5.1.1 Nakłady_razem'!AQ9/1000</f>
        <v>47794.643280144803</v>
      </c>
      <c r="D11" s="59">
        <f t="shared" si="12"/>
        <v>77543.7896851072</v>
      </c>
      <c r="E11" s="59">
        <f t="shared" si="13"/>
        <v>19832.764269974934</v>
      </c>
      <c r="F11" s="59">
        <f t="shared" si="14"/>
        <v>31863.095520096536</v>
      </c>
      <c r="G11" s="59">
        <f t="shared" si="15"/>
        <v>51695.859790071467</v>
      </c>
      <c r="H11" s="59">
        <f t="shared" si="16"/>
        <v>49581.910674937331</v>
      </c>
      <c r="I11" s="59">
        <f t="shared" si="17"/>
        <v>79657.738800241335</v>
      </c>
      <c r="J11" s="60">
        <f t="shared" si="18"/>
        <v>129239.64947517867</v>
      </c>
      <c r="K11" s="61">
        <f>'5.1.1 Nakłady_razem'!BE9/1000</f>
        <v>691.89104232</v>
      </c>
      <c r="L11" s="61">
        <f>'5.1.1 Nakłady_razem'!BI9/1000</f>
        <v>1340.0943976799999</v>
      </c>
      <c r="M11" s="61">
        <f t="shared" si="19"/>
        <v>2031.9854399999999</v>
      </c>
      <c r="N11" s="62">
        <f t="shared" si="20"/>
        <v>50273.801717257331</v>
      </c>
      <c r="O11" s="62">
        <f t="shared" si="21"/>
        <v>80997.83319792134</v>
      </c>
      <c r="P11" s="62">
        <f t="shared" si="22"/>
        <v>131271.63491517867</v>
      </c>
      <c r="Q11" s="63">
        <f t="shared" si="0"/>
        <v>14725.827470456386</v>
      </c>
      <c r="R11" s="64">
        <f t="shared" si="1"/>
        <v>23658.348423671676</v>
      </c>
      <c r="S11" s="63">
        <f t="shared" si="23"/>
        <v>38384.175894128064</v>
      </c>
      <c r="T11" s="64">
        <f t="shared" si="2"/>
        <v>156.36737556432001</v>
      </c>
      <c r="U11" s="64">
        <f t="shared" si="3"/>
        <v>302.86133387567997</v>
      </c>
      <c r="V11" s="64">
        <f t="shared" si="24"/>
        <v>459.22870943999999</v>
      </c>
      <c r="W11" s="64">
        <f t="shared" si="25"/>
        <v>14882.194846020706</v>
      </c>
      <c r="X11" s="64">
        <f t="shared" si="26"/>
        <v>23961.209757547356</v>
      </c>
      <c r="Y11" s="65">
        <f t="shared" si="27"/>
        <v>38843.404603568066</v>
      </c>
      <c r="Z11" s="66">
        <f t="shared" si="4"/>
        <v>7292.2754745501461</v>
      </c>
      <c r="AA11" s="67">
        <f t="shared" si="5"/>
        <v>3720.5487115051765</v>
      </c>
      <c r="AB11" s="68">
        <f t="shared" si="6"/>
        <v>2827.6170207439341</v>
      </c>
      <c r="AC11" s="69">
        <f t="shared" si="7"/>
        <v>1041.7536392214495</v>
      </c>
      <c r="AD11" s="66">
        <f t="shared" si="8"/>
        <v>14137.11375695294</v>
      </c>
      <c r="AE11" s="67">
        <f t="shared" si="9"/>
        <v>3833.7935612075771</v>
      </c>
      <c r="AF11" s="68">
        <f t="shared" si="10"/>
        <v>3833.7935612075771</v>
      </c>
      <c r="AG11" s="70">
        <f t="shared" si="11"/>
        <v>2156.508878179262</v>
      </c>
    </row>
    <row r="12" spans="1:33" ht="21.75" customHeight="1" thickBot="1" x14ac:dyDescent="0.35">
      <c r="A12" s="73" t="s">
        <v>103</v>
      </c>
      <c r="B12" s="59">
        <f>'5.1.1 Nakłady_razem'!AM10/1000</f>
        <v>2210.8472775792002</v>
      </c>
      <c r="C12" s="59">
        <f>'5.1.1 Nakłady_razem'!AQ10/1000</f>
        <v>1299.7588563856</v>
      </c>
      <c r="D12" s="59">
        <f t="shared" si="12"/>
        <v>3510.6061339648004</v>
      </c>
      <c r="E12" s="59">
        <f t="shared" si="13"/>
        <v>1473.8981850528</v>
      </c>
      <c r="F12" s="59">
        <f t="shared" si="14"/>
        <v>866.50590425706662</v>
      </c>
      <c r="G12" s="59">
        <f t="shared" si="15"/>
        <v>2340.4040893098668</v>
      </c>
      <c r="H12" s="59">
        <f t="shared" si="16"/>
        <v>3684.7454626320005</v>
      </c>
      <c r="I12" s="59">
        <f t="shared" si="17"/>
        <v>2166.2647606426667</v>
      </c>
      <c r="J12" s="60">
        <f t="shared" si="18"/>
        <v>5851.0102232746667</v>
      </c>
      <c r="K12" s="61">
        <f>'5.1.1 Nakłady_razem'!BE10/1000</f>
        <v>61.2949032</v>
      </c>
      <c r="L12" s="61">
        <f>'5.1.1 Nakłady_razem'!BI10/1000</f>
        <v>118.71949679999999</v>
      </c>
      <c r="M12" s="61">
        <f t="shared" si="19"/>
        <v>180.01439999999999</v>
      </c>
      <c r="N12" s="62">
        <f t="shared" si="20"/>
        <v>3746.0403658320006</v>
      </c>
      <c r="O12" s="62">
        <f t="shared" si="21"/>
        <v>2284.9842574426666</v>
      </c>
      <c r="P12" s="62">
        <f t="shared" si="22"/>
        <v>6031.0246232746667</v>
      </c>
      <c r="Q12" s="63">
        <f t="shared" si="0"/>
        <v>1094.3694024017041</v>
      </c>
      <c r="R12" s="64">
        <f t="shared" si="1"/>
        <v>643.38063391087201</v>
      </c>
      <c r="S12" s="63">
        <f t="shared" si="23"/>
        <v>1737.750036312576</v>
      </c>
      <c r="T12" s="64">
        <f t="shared" si="2"/>
        <v>13.8526481232</v>
      </c>
      <c r="U12" s="64">
        <f t="shared" si="3"/>
        <v>26.830606276799998</v>
      </c>
      <c r="V12" s="64">
        <f t="shared" si="24"/>
        <v>40.683254399999996</v>
      </c>
      <c r="W12" s="64">
        <f t="shared" si="25"/>
        <v>1108.222050524904</v>
      </c>
      <c r="X12" s="64">
        <f t="shared" si="26"/>
        <v>670.21124018767205</v>
      </c>
      <c r="Y12" s="65">
        <f t="shared" si="27"/>
        <v>1778.4332907125761</v>
      </c>
      <c r="Z12" s="66">
        <f t="shared" si="4"/>
        <v>543.02880475720292</v>
      </c>
      <c r="AA12" s="67">
        <f t="shared" si="5"/>
        <v>277.05551263122601</v>
      </c>
      <c r="AB12" s="68">
        <f t="shared" si="6"/>
        <v>210.56218959973177</v>
      </c>
      <c r="AC12" s="69">
        <f t="shared" si="7"/>
        <v>77.575543536743297</v>
      </c>
      <c r="AD12" s="66">
        <f t="shared" si="8"/>
        <v>395.42463171072649</v>
      </c>
      <c r="AE12" s="67">
        <f t="shared" si="9"/>
        <v>107.23379843002753</v>
      </c>
      <c r="AF12" s="68">
        <f t="shared" si="10"/>
        <v>107.23379843002753</v>
      </c>
      <c r="AG12" s="70">
        <f t="shared" si="11"/>
        <v>60.319011616890485</v>
      </c>
    </row>
    <row r="13" spans="1:33" ht="21.75" customHeight="1" thickBot="1" x14ac:dyDescent="0.35">
      <c r="A13" s="73" t="s">
        <v>104</v>
      </c>
      <c r="B13" s="59">
        <f>'5.1.1 Nakłady_razem'!AM11/1000</f>
        <v>4232.3221125015998</v>
      </c>
      <c r="C13" s="59">
        <f>'5.1.1 Nakłady_razem'!AQ11/1000</f>
        <v>3276.9507213664001</v>
      </c>
      <c r="D13" s="59">
        <f t="shared" si="12"/>
        <v>7509.2728338679999</v>
      </c>
      <c r="E13" s="59">
        <f t="shared" si="13"/>
        <v>2821.5480750010665</v>
      </c>
      <c r="F13" s="59">
        <f t="shared" si="14"/>
        <v>2184.6338142442669</v>
      </c>
      <c r="G13" s="59">
        <f t="shared" si="15"/>
        <v>5006.181889245333</v>
      </c>
      <c r="H13" s="59">
        <f t="shared" si="16"/>
        <v>7053.8701875026663</v>
      </c>
      <c r="I13" s="59">
        <f t="shared" si="17"/>
        <v>5461.5845356106674</v>
      </c>
      <c r="J13" s="60">
        <f t="shared" si="18"/>
        <v>12515.454723113333</v>
      </c>
      <c r="K13" s="61">
        <f>'5.1.1 Nakłady_razem'!BE11/1000</f>
        <v>117.85434487199998</v>
      </c>
      <c r="L13" s="61">
        <f>'5.1.1 Nakłady_razem'!BI11/1000</f>
        <v>228.26707912799998</v>
      </c>
      <c r="M13" s="61">
        <f t="shared" si="19"/>
        <v>346.12142399999993</v>
      </c>
      <c r="N13" s="62">
        <f t="shared" si="20"/>
        <v>7171.7245323746665</v>
      </c>
      <c r="O13" s="62">
        <f t="shared" si="21"/>
        <v>5689.8516147386672</v>
      </c>
      <c r="P13" s="62">
        <f t="shared" si="22"/>
        <v>12861.576147113334</v>
      </c>
      <c r="Q13" s="63">
        <f t="shared" si="0"/>
        <v>2094.9994456882919</v>
      </c>
      <c r="R13" s="64">
        <f t="shared" si="1"/>
        <v>1622.0906070763681</v>
      </c>
      <c r="S13" s="63">
        <f t="shared" si="23"/>
        <v>3717.09005276466</v>
      </c>
      <c r="T13" s="64">
        <f t="shared" si="2"/>
        <v>26.635081941071999</v>
      </c>
      <c r="U13" s="64">
        <f t="shared" si="3"/>
        <v>51.588359882927996</v>
      </c>
      <c r="V13" s="64">
        <f t="shared" si="24"/>
        <v>78.223441823999991</v>
      </c>
      <c r="W13" s="64">
        <f t="shared" si="25"/>
        <v>2121.6345276293637</v>
      </c>
      <c r="X13" s="64">
        <f t="shared" si="26"/>
        <v>1673.6789669592961</v>
      </c>
      <c r="Y13" s="65">
        <f t="shared" si="27"/>
        <v>3795.3134945886595</v>
      </c>
      <c r="Z13" s="66">
        <f t="shared" si="4"/>
        <v>1039.6009185383882</v>
      </c>
      <c r="AA13" s="67">
        <f t="shared" si="5"/>
        <v>530.40863190734092</v>
      </c>
      <c r="AB13" s="68">
        <f t="shared" si="6"/>
        <v>403.11056024957912</v>
      </c>
      <c r="AC13" s="69">
        <f t="shared" si="7"/>
        <v>148.51441693405548</v>
      </c>
      <c r="AD13" s="66">
        <f t="shared" si="8"/>
        <v>987.47059050598466</v>
      </c>
      <c r="AE13" s="67">
        <f t="shared" si="9"/>
        <v>267.7886347134874</v>
      </c>
      <c r="AF13" s="68">
        <f t="shared" si="10"/>
        <v>267.7886347134874</v>
      </c>
      <c r="AG13" s="70">
        <f t="shared" si="11"/>
        <v>150.63110702633665</v>
      </c>
    </row>
    <row r="14" spans="1:33" ht="18" customHeight="1" thickBot="1" x14ac:dyDescent="0.35">
      <c r="A14" s="73" t="s">
        <v>105</v>
      </c>
      <c r="B14" s="59">
        <f>'5.1.1 Nakłady_razem'!AM12/1000</f>
        <v>2077.7499006368002</v>
      </c>
      <c r="C14" s="59">
        <f>'5.1.1 Nakłady_razem'!AQ12/1000</f>
        <v>1510.0364685536001</v>
      </c>
      <c r="D14" s="59">
        <f t="shared" si="12"/>
        <v>3587.7863691904004</v>
      </c>
      <c r="E14" s="59">
        <f t="shared" si="13"/>
        <v>1385.1666004245335</v>
      </c>
      <c r="F14" s="59">
        <f t="shared" si="14"/>
        <v>1006.6909790357334</v>
      </c>
      <c r="G14" s="59">
        <f t="shared" si="15"/>
        <v>2391.8575794602666</v>
      </c>
      <c r="H14" s="59">
        <f t="shared" si="16"/>
        <v>3462.9165010613337</v>
      </c>
      <c r="I14" s="59">
        <f t="shared" si="17"/>
        <v>2516.7274475893337</v>
      </c>
      <c r="J14" s="60">
        <f t="shared" si="18"/>
        <v>5979.6439486506679</v>
      </c>
      <c r="K14" s="61">
        <f>'5.1.1 Nakłady_razem'!BE12/1000</f>
        <v>67.102694568000004</v>
      </c>
      <c r="L14" s="61">
        <f>'5.1.1 Nakłady_razem'!BI12/1000</f>
        <v>129.96836143199999</v>
      </c>
      <c r="M14" s="61">
        <f t="shared" si="19"/>
        <v>197.071056</v>
      </c>
      <c r="N14" s="62">
        <f t="shared" si="20"/>
        <v>3530.0191956293338</v>
      </c>
      <c r="O14" s="62">
        <f t="shared" si="21"/>
        <v>2646.6958090213338</v>
      </c>
      <c r="P14" s="62">
        <f t="shared" si="22"/>
        <v>6176.7150046506677</v>
      </c>
      <c r="Q14" s="63">
        <f t="shared" si="0"/>
        <v>1028.4862008152161</v>
      </c>
      <c r="R14" s="64">
        <f t="shared" si="1"/>
        <v>747.46805193403202</v>
      </c>
      <c r="S14" s="63">
        <f t="shared" si="23"/>
        <v>1775.9542527492481</v>
      </c>
      <c r="T14" s="64">
        <f t="shared" si="2"/>
        <v>15.165208972368001</v>
      </c>
      <c r="U14" s="64">
        <f t="shared" si="3"/>
        <v>29.372849683632001</v>
      </c>
      <c r="V14" s="64">
        <f t="shared" si="24"/>
        <v>44.538058656000004</v>
      </c>
      <c r="W14" s="64">
        <f t="shared" si="25"/>
        <v>1043.651409787584</v>
      </c>
      <c r="X14" s="64">
        <f t="shared" si="26"/>
        <v>776.84090161766403</v>
      </c>
      <c r="Y14" s="65">
        <f t="shared" si="27"/>
        <v>1820.4923114052481</v>
      </c>
      <c r="Z14" s="66">
        <f t="shared" si="4"/>
        <v>511.38919079591619</v>
      </c>
      <c r="AA14" s="67">
        <f t="shared" si="5"/>
        <v>260.91285244689601</v>
      </c>
      <c r="AB14" s="68">
        <f t="shared" si="6"/>
        <v>198.29376785964098</v>
      </c>
      <c r="AC14" s="69">
        <f t="shared" si="7"/>
        <v>73.055598685130889</v>
      </c>
      <c r="AD14" s="66">
        <f t="shared" si="8"/>
        <v>458.33613195442177</v>
      </c>
      <c r="AE14" s="67">
        <f t="shared" si="9"/>
        <v>124.29454425882625</v>
      </c>
      <c r="AF14" s="68">
        <f t="shared" si="10"/>
        <v>124.29454425882625</v>
      </c>
      <c r="AG14" s="70">
        <f t="shared" si="11"/>
        <v>69.915681145589758</v>
      </c>
    </row>
    <row r="15" spans="1:33" ht="23.25" customHeight="1" thickBot="1" x14ac:dyDescent="0.35">
      <c r="A15" s="73" t="s">
        <v>106</v>
      </c>
      <c r="B15" s="59">
        <f>'5.1.1 Nakłady_razem'!AM13/1000</f>
        <v>6709.7899312288</v>
      </c>
      <c r="C15" s="59">
        <f>'5.1.1 Nakłady_razem'!AQ13/1000</f>
        <v>5135.4935175648006</v>
      </c>
      <c r="D15" s="59">
        <f t="shared" si="12"/>
        <v>11845.283448793602</v>
      </c>
      <c r="E15" s="59">
        <f t="shared" si="13"/>
        <v>4473.1932874858667</v>
      </c>
      <c r="F15" s="59">
        <f t="shared" si="14"/>
        <v>3423.6623450432003</v>
      </c>
      <c r="G15" s="59">
        <f t="shared" si="15"/>
        <v>7896.8556325290683</v>
      </c>
      <c r="H15" s="59">
        <f t="shared" si="16"/>
        <v>11182.983218714668</v>
      </c>
      <c r="I15" s="59">
        <f t="shared" si="17"/>
        <v>8559.1558626080005</v>
      </c>
      <c r="J15" s="60">
        <f t="shared" si="18"/>
        <v>19742.139081322668</v>
      </c>
      <c r="K15" s="61">
        <f>'5.1.1 Nakłady_razem'!BE13/1000</f>
        <v>179.59936183199997</v>
      </c>
      <c r="L15" s="61">
        <f>'5.1.1 Nakłady_razem'!BI13/1000</f>
        <v>347.85838216799993</v>
      </c>
      <c r="M15" s="61">
        <f t="shared" si="19"/>
        <v>527.45774399999993</v>
      </c>
      <c r="N15" s="62">
        <f t="shared" si="20"/>
        <v>11362.582580546668</v>
      </c>
      <c r="O15" s="62">
        <f t="shared" si="21"/>
        <v>8907.0142447760009</v>
      </c>
      <c r="P15" s="62">
        <f t="shared" si="22"/>
        <v>20269.596825322667</v>
      </c>
      <c r="Q15" s="63">
        <f t="shared" si="0"/>
        <v>3321.346015958256</v>
      </c>
      <c r="R15" s="64">
        <f t="shared" si="1"/>
        <v>2542.0692911945762</v>
      </c>
      <c r="S15" s="63">
        <f t="shared" si="23"/>
        <v>5863.4153071528326</v>
      </c>
      <c r="T15" s="64">
        <f t="shared" si="2"/>
        <v>40.589455774031997</v>
      </c>
      <c r="U15" s="64">
        <f t="shared" si="3"/>
        <v>78.615994369967993</v>
      </c>
      <c r="V15" s="64">
        <f t="shared" si="24"/>
        <v>119.205450144</v>
      </c>
      <c r="W15" s="64">
        <f t="shared" si="25"/>
        <v>3361.9354717322881</v>
      </c>
      <c r="X15" s="64">
        <f t="shared" si="26"/>
        <v>2620.6852855645443</v>
      </c>
      <c r="Y15" s="65">
        <f t="shared" si="27"/>
        <v>5982.6207572968324</v>
      </c>
      <c r="Z15" s="66">
        <f t="shared" si="4"/>
        <v>1647.3483811488211</v>
      </c>
      <c r="AA15" s="67">
        <f t="shared" si="5"/>
        <v>840.48386793307202</v>
      </c>
      <c r="AB15" s="68">
        <f t="shared" si="6"/>
        <v>638.76773962913478</v>
      </c>
      <c r="AC15" s="69">
        <f t="shared" si="7"/>
        <v>235.33548302126019</v>
      </c>
      <c r="AD15" s="66">
        <f t="shared" si="8"/>
        <v>1546.2043184830811</v>
      </c>
      <c r="AE15" s="67">
        <f t="shared" si="9"/>
        <v>419.3096456903271</v>
      </c>
      <c r="AF15" s="68">
        <f t="shared" si="10"/>
        <v>419.3096456903271</v>
      </c>
      <c r="AG15" s="70">
        <f t="shared" si="11"/>
        <v>235.86167570080897</v>
      </c>
    </row>
    <row r="16" spans="1:33" ht="15" thickBot="1" x14ac:dyDescent="0.35">
      <c r="A16" s="73" t="s">
        <v>107</v>
      </c>
      <c r="B16" s="59">
        <f>'5.1.1 Nakłady_razem'!AM14/1000</f>
        <v>12231.1298964816</v>
      </c>
      <c r="C16" s="59">
        <f>'5.1.1 Nakłady_razem'!AQ14/1000</f>
        <v>14962.989733723201</v>
      </c>
      <c r="D16" s="59">
        <f t="shared" si="12"/>
        <v>27194.119630204801</v>
      </c>
      <c r="E16" s="59">
        <f t="shared" si="13"/>
        <v>8154.0865976544001</v>
      </c>
      <c r="F16" s="59">
        <f t="shared" si="14"/>
        <v>9975.3264891488016</v>
      </c>
      <c r="G16" s="59">
        <f t="shared" si="15"/>
        <v>18129.413086803201</v>
      </c>
      <c r="H16" s="59">
        <f t="shared" si="16"/>
        <v>20385.216494135999</v>
      </c>
      <c r="I16" s="59">
        <f t="shared" si="17"/>
        <v>24938.316222872003</v>
      </c>
      <c r="J16" s="60">
        <f t="shared" si="18"/>
        <v>45323.532717007998</v>
      </c>
      <c r="K16" s="61">
        <f>'5.1.1 Nakłady_razem'!BE14/1000</f>
        <v>365.12698665600004</v>
      </c>
      <c r="L16" s="61">
        <f>'5.1.1 Nakłady_razem'!BI14/1000</f>
        <v>707.19896534400004</v>
      </c>
      <c r="M16" s="61">
        <f t="shared" si="19"/>
        <v>1072.3259520000001</v>
      </c>
      <c r="N16" s="62">
        <f t="shared" si="20"/>
        <v>20750.343480791998</v>
      </c>
      <c r="O16" s="62">
        <f t="shared" si="21"/>
        <v>25645.515188216003</v>
      </c>
      <c r="P16" s="62">
        <f t="shared" si="22"/>
        <v>46395.858669007997</v>
      </c>
      <c r="Q16" s="63">
        <f t="shared" si="0"/>
        <v>6054.4092987583917</v>
      </c>
      <c r="R16" s="64">
        <f t="shared" si="1"/>
        <v>7406.6799181929846</v>
      </c>
      <c r="S16" s="63">
        <f t="shared" si="23"/>
        <v>13461.089216951375</v>
      </c>
      <c r="T16" s="64">
        <f t="shared" si="2"/>
        <v>82.518698984256005</v>
      </c>
      <c r="U16" s="64">
        <f t="shared" si="3"/>
        <v>159.82696616774402</v>
      </c>
      <c r="V16" s="64">
        <f t="shared" si="24"/>
        <v>242.34566515200004</v>
      </c>
      <c r="W16" s="64">
        <f t="shared" si="25"/>
        <v>6136.9279977426477</v>
      </c>
      <c r="X16" s="64">
        <f t="shared" si="26"/>
        <v>7566.5068843607287</v>
      </c>
      <c r="Y16" s="65">
        <f t="shared" si="27"/>
        <v>13703.434882103376</v>
      </c>
      <c r="Z16" s="66">
        <f t="shared" si="4"/>
        <v>3007.0947188938972</v>
      </c>
      <c r="AA16" s="67">
        <f t="shared" si="5"/>
        <v>1534.2319994356619</v>
      </c>
      <c r="AB16" s="68">
        <f t="shared" si="6"/>
        <v>1166.0163195711032</v>
      </c>
      <c r="AC16" s="69">
        <f t="shared" si="7"/>
        <v>429.58495984198538</v>
      </c>
      <c r="AD16" s="66">
        <f t="shared" si="8"/>
        <v>4464.2390617728297</v>
      </c>
      <c r="AE16" s="67">
        <f t="shared" si="9"/>
        <v>1210.6411014977166</v>
      </c>
      <c r="AF16" s="68">
        <f t="shared" si="10"/>
        <v>1210.6411014977166</v>
      </c>
      <c r="AG16" s="70">
        <f t="shared" si="11"/>
        <v>680.98561959246558</v>
      </c>
    </row>
    <row r="17" spans="1:33" ht="22.5" customHeight="1" thickBot="1" x14ac:dyDescent="0.35">
      <c r="A17" s="73" t="s">
        <v>108</v>
      </c>
      <c r="B17" s="59">
        <f>'5.1.1 Nakłady_razem'!AM15/1000</f>
        <v>1961.6030161312001</v>
      </c>
      <c r="C17" s="59">
        <f>'5.1.1 Nakłady_razem'!AQ15/1000</f>
        <v>1345.7241785727999</v>
      </c>
      <c r="D17" s="59">
        <f t="shared" si="12"/>
        <v>3307.3271947040002</v>
      </c>
      <c r="E17" s="59">
        <f t="shared" si="13"/>
        <v>1307.735344087467</v>
      </c>
      <c r="F17" s="59">
        <f t="shared" si="14"/>
        <v>897.14945238186669</v>
      </c>
      <c r="G17" s="59">
        <f t="shared" si="15"/>
        <v>2204.8847964693337</v>
      </c>
      <c r="H17" s="59">
        <f t="shared" si="16"/>
        <v>3269.3383602186668</v>
      </c>
      <c r="I17" s="59">
        <f t="shared" si="17"/>
        <v>2242.8736309546666</v>
      </c>
      <c r="J17" s="60">
        <f t="shared" si="18"/>
        <v>5512.2119911733334</v>
      </c>
      <c r="K17" s="61">
        <f>'5.1.1 Nakłady_razem'!BE15/1000</f>
        <v>69.89207601599999</v>
      </c>
      <c r="L17" s="61">
        <f>'5.1.1 Nakłady_razem'!BI15/1000</f>
        <v>135.37099598399999</v>
      </c>
      <c r="M17" s="61">
        <f t="shared" si="19"/>
        <v>205.26307199999997</v>
      </c>
      <c r="N17" s="62">
        <f t="shared" si="20"/>
        <v>3339.2304362346667</v>
      </c>
      <c r="O17" s="62">
        <f t="shared" si="21"/>
        <v>2378.2446269386664</v>
      </c>
      <c r="P17" s="62">
        <f t="shared" si="22"/>
        <v>5717.4750631733332</v>
      </c>
      <c r="Q17" s="63">
        <f t="shared" si="0"/>
        <v>970.99349298494406</v>
      </c>
      <c r="R17" s="64">
        <f t="shared" si="1"/>
        <v>666.13346839353596</v>
      </c>
      <c r="S17" s="63">
        <f t="shared" si="23"/>
        <v>1637.12696137848</v>
      </c>
      <c r="T17" s="64">
        <f t="shared" si="2"/>
        <v>15.795609179615997</v>
      </c>
      <c r="U17" s="64">
        <f t="shared" si="3"/>
        <v>30.593845092383997</v>
      </c>
      <c r="V17" s="64">
        <f t="shared" si="24"/>
        <v>46.389454271999995</v>
      </c>
      <c r="W17" s="64">
        <f t="shared" si="25"/>
        <v>986.78910216456006</v>
      </c>
      <c r="X17" s="64">
        <f t="shared" si="26"/>
        <v>696.72731348591992</v>
      </c>
      <c r="Y17" s="65">
        <f t="shared" si="27"/>
        <v>1683.51641565048</v>
      </c>
      <c r="Z17" s="66">
        <f t="shared" si="4"/>
        <v>483.52666006063441</v>
      </c>
      <c r="AA17" s="67">
        <f t="shared" si="5"/>
        <v>246.69727554114002</v>
      </c>
      <c r="AB17" s="68">
        <f t="shared" si="6"/>
        <v>187.48992941126642</v>
      </c>
      <c r="AC17" s="69">
        <f t="shared" si="7"/>
        <v>69.075237151519218</v>
      </c>
      <c r="AD17" s="66">
        <f t="shared" si="8"/>
        <v>411.06911495669272</v>
      </c>
      <c r="AE17" s="67">
        <f t="shared" si="9"/>
        <v>111.47637015774718</v>
      </c>
      <c r="AF17" s="68">
        <f t="shared" si="10"/>
        <v>111.47637015774718</v>
      </c>
      <c r="AG17" s="70">
        <f t="shared" si="11"/>
        <v>62.70545821373279</v>
      </c>
    </row>
    <row r="18" spans="1:33" ht="28.5" customHeight="1" thickBot="1" x14ac:dyDescent="0.35">
      <c r="A18" s="73" t="s">
        <v>109</v>
      </c>
      <c r="B18" s="59">
        <f>'5.1.1 Nakłady_razem'!AM16/1000</f>
        <v>2358.0394169592</v>
      </c>
      <c r="C18" s="59">
        <f>'5.1.1 Nakłady_razem'!AQ16/1000</f>
        <v>2302.3171084887999</v>
      </c>
      <c r="D18" s="59">
        <f t="shared" si="12"/>
        <v>4660.356525448</v>
      </c>
      <c r="E18" s="59">
        <f t="shared" si="13"/>
        <v>1572.0262779728</v>
      </c>
      <c r="F18" s="59">
        <f t="shared" si="14"/>
        <v>1534.8780723258667</v>
      </c>
      <c r="G18" s="59">
        <f t="shared" si="15"/>
        <v>3106.9043502986665</v>
      </c>
      <c r="H18" s="59">
        <f t="shared" si="16"/>
        <v>3930.065694932</v>
      </c>
      <c r="I18" s="59">
        <f t="shared" si="17"/>
        <v>3837.1951808146669</v>
      </c>
      <c r="J18" s="60">
        <f t="shared" si="18"/>
        <v>7767.2608757466669</v>
      </c>
      <c r="K18" s="61">
        <f>'5.1.1 Nakłady_razem'!BE16/1000</f>
        <v>77.079333672000004</v>
      </c>
      <c r="L18" s="61">
        <f>'5.1.1 Nakłady_razem'!BI16/1000</f>
        <v>149.29169032799999</v>
      </c>
      <c r="M18" s="61">
        <f t="shared" si="19"/>
        <v>226.37102399999998</v>
      </c>
      <c r="N18" s="62">
        <f t="shared" si="20"/>
        <v>4007.1450286039999</v>
      </c>
      <c r="O18" s="62">
        <f t="shared" si="21"/>
        <v>3986.486871142667</v>
      </c>
      <c r="P18" s="62">
        <f t="shared" si="22"/>
        <v>7993.6318997466669</v>
      </c>
      <c r="Q18" s="63">
        <f t="shared" si="0"/>
        <v>1167.2295113948039</v>
      </c>
      <c r="R18" s="64">
        <f t="shared" si="1"/>
        <v>1139.646968701956</v>
      </c>
      <c r="S18" s="63">
        <f t="shared" si="23"/>
        <v>2306.8764800967601</v>
      </c>
      <c r="T18" s="64">
        <f t="shared" si="2"/>
        <v>17.419929409872001</v>
      </c>
      <c r="U18" s="64">
        <f t="shared" si="3"/>
        <v>33.739922014127998</v>
      </c>
      <c r="V18" s="64">
        <f t="shared" si="24"/>
        <v>51.159851423999996</v>
      </c>
      <c r="W18" s="64">
        <f t="shared" si="25"/>
        <v>1184.649440804676</v>
      </c>
      <c r="X18" s="64">
        <f t="shared" si="26"/>
        <v>1173.3868907160841</v>
      </c>
      <c r="Y18" s="65">
        <f t="shared" si="27"/>
        <v>2358.0363315207601</v>
      </c>
      <c r="Z18" s="66">
        <f t="shared" si="4"/>
        <v>580.47822599429128</v>
      </c>
      <c r="AA18" s="67">
        <f t="shared" si="5"/>
        <v>296.16236020116901</v>
      </c>
      <c r="AB18" s="68">
        <f t="shared" si="6"/>
        <v>225.08339375288844</v>
      </c>
      <c r="AC18" s="69">
        <f t="shared" si="7"/>
        <v>82.925460856327334</v>
      </c>
      <c r="AD18" s="66">
        <f t="shared" si="8"/>
        <v>692.2982655224896</v>
      </c>
      <c r="AE18" s="67">
        <f t="shared" si="9"/>
        <v>187.74190251457344</v>
      </c>
      <c r="AF18" s="68">
        <f t="shared" si="10"/>
        <v>187.74190251457344</v>
      </c>
      <c r="AG18" s="70">
        <f t="shared" si="11"/>
        <v>105.60482016444756</v>
      </c>
    </row>
    <row r="19" spans="1:33" ht="25.5" customHeight="1" thickBot="1" x14ac:dyDescent="0.35">
      <c r="A19" s="73" t="s">
        <v>110</v>
      </c>
      <c r="B19" s="59">
        <f>'5.1.1 Nakłady_razem'!AM17/1000</f>
        <v>11322.6279413624</v>
      </c>
      <c r="C19" s="59">
        <f>'5.1.1 Nakłady_razem'!AQ17/1000</f>
        <v>14121.593602594399</v>
      </c>
      <c r="D19" s="59">
        <f t="shared" si="12"/>
        <v>25444.221543956799</v>
      </c>
      <c r="E19" s="59">
        <f t="shared" si="13"/>
        <v>7548.4186275749335</v>
      </c>
      <c r="F19" s="59">
        <f t="shared" si="14"/>
        <v>9414.3957350629316</v>
      </c>
      <c r="G19" s="59">
        <f t="shared" si="15"/>
        <v>16962.814362637866</v>
      </c>
      <c r="H19" s="59">
        <f t="shared" si="16"/>
        <v>18871.046568937334</v>
      </c>
      <c r="I19" s="59">
        <f t="shared" si="17"/>
        <v>23535.989337657331</v>
      </c>
      <c r="J19" s="60">
        <f t="shared" si="18"/>
        <v>42407.035906594669</v>
      </c>
      <c r="K19" s="61">
        <f>'5.1.1 Nakłady_razem'!BE17/1000</f>
        <v>299.12839466400004</v>
      </c>
      <c r="L19" s="61">
        <f>'5.1.1 Nakłady_razem'!BI17/1000</f>
        <v>579.36909333599999</v>
      </c>
      <c r="M19" s="61">
        <f t="shared" si="19"/>
        <v>878.49748799999998</v>
      </c>
      <c r="N19" s="62">
        <f t="shared" si="20"/>
        <v>19170.174963601334</v>
      </c>
      <c r="O19" s="62">
        <f t="shared" si="21"/>
        <v>24115.358430993332</v>
      </c>
      <c r="P19" s="62">
        <f t="shared" si="22"/>
        <v>43285.533394594662</v>
      </c>
      <c r="Q19" s="63">
        <f t="shared" si="0"/>
        <v>5604.7008309743878</v>
      </c>
      <c r="R19" s="64">
        <f t="shared" si="1"/>
        <v>6990.1888332842273</v>
      </c>
      <c r="S19" s="63">
        <f t="shared" si="23"/>
        <v>12594.889664258615</v>
      </c>
      <c r="T19" s="64">
        <f t="shared" si="2"/>
        <v>67.603017194064009</v>
      </c>
      <c r="U19" s="64">
        <f t="shared" si="3"/>
        <v>130.93741509393601</v>
      </c>
      <c r="V19" s="64">
        <f t="shared" si="24"/>
        <v>198.54043228800003</v>
      </c>
      <c r="W19" s="64">
        <f t="shared" si="25"/>
        <v>5672.3038481684516</v>
      </c>
      <c r="X19" s="64">
        <f t="shared" si="26"/>
        <v>7121.1262483781629</v>
      </c>
      <c r="Y19" s="65">
        <f t="shared" si="27"/>
        <v>12793.430096546614</v>
      </c>
      <c r="Z19" s="66">
        <f t="shared" si="4"/>
        <v>2779.4288856025414</v>
      </c>
      <c r="AA19" s="67">
        <f t="shared" si="5"/>
        <v>1418.0759620421129</v>
      </c>
      <c r="AB19" s="68">
        <f t="shared" si="6"/>
        <v>1077.7377311520058</v>
      </c>
      <c r="AC19" s="69">
        <f t="shared" si="7"/>
        <v>397.06126937179164</v>
      </c>
      <c r="AD19" s="66">
        <f t="shared" si="8"/>
        <v>4201.4644865431155</v>
      </c>
      <c r="AE19" s="67">
        <f t="shared" si="9"/>
        <v>1139.380199740506</v>
      </c>
      <c r="AF19" s="68">
        <f t="shared" si="10"/>
        <v>1139.380199740506</v>
      </c>
      <c r="AG19" s="70">
        <f t="shared" si="11"/>
        <v>640.90136235403463</v>
      </c>
    </row>
    <row r="20" spans="1:33" ht="32.25" customHeight="1" thickBot="1" x14ac:dyDescent="0.35">
      <c r="A20" s="73" t="s">
        <v>111</v>
      </c>
      <c r="B20" s="59">
        <f>'5.1.1 Nakłady_razem'!AM18/1000</f>
        <v>4730.4756973448002</v>
      </c>
      <c r="C20" s="59">
        <f>'5.1.1 Nakłady_razem'!AQ18/1000</f>
        <v>2148.6593512072</v>
      </c>
      <c r="D20" s="59">
        <f t="shared" si="12"/>
        <v>6879.1350485519997</v>
      </c>
      <c r="E20" s="59">
        <f t="shared" si="13"/>
        <v>3153.6504648965338</v>
      </c>
      <c r="F20" s="59">
        <f t="shared" si="14"/>
        <v>1432.4395674714665</v>
      </c>
      <c r="G20" s="59">
        <f t="shared" si="15"/>
        <v>4586.0900323679998</v>
      </c>
      <c r="H20" s="59">
        <f t="shared" si="16"/>
        <v>7884.126162241334</v>
      </c>
      <c r="I20" s="59">
        <f t="shared" si="17"/>
        <v>3581.0989186786665</v>
      </c>
      <c r="J20" s="60">
        <f t="shared" si="18"/>
        <v>11465.225080920001</v>
      </c>
      <c r="K20" s="61">
        <f>'5.1.1 Nakłady_razem'!BE18/1000</f>
        <v>111.32107603200001</v>
      </c>
      <c r="L20" s="61">
        <f>'5.1.1 Nakłady_razem'!BI18/1000</f>
        <v>215.61306796800002</v>
      </c>
      <c r="M20" s="61">
        <f t="shared" si="19"/>
        <v>326.93414400000006</v>
      </c>
      <c r="N20" s="62">
        <f t="shared" si="20"/>
        <v>7995.4472382733338</v>
      </c>
      <c r="O20" s="62">
        <f t="shared" si="21"/>
        <v>3796.7119866466664</v>
      </c>
      <c r="P20" s="62">
        <f>SUM(N20:O20)</f>
        <v>11792.15922492</v>
      </c>
      <c r="Q20" s="63">
        <f t="shared" si="0"/>
        <v>2341.5854701856761</v>
      </c>
      <c r="R20" s="64">
        <f t="shared" si="1"/>
        <v>1063.586378847564</v>
      </c>
      <c r="S20" s="63">
        <f t="shared" si="23"/>
        <v>3405.1718490332401</v>
      </c>
      <c r="T20" s="64">
        <f t="shared" si="2"/>
        <v>25.158563183232001</v>
      </c>
      <c r="U20" s="64">
        <f t="shared" si="3"/>
        <v>48.728553360768004</v>
      </c>
      <c r="V20" s="64">
        <f t="shared" si="24"/>
        <v>73.887116544000008</v>
      </c>
      <c r="W20" s="64">
        <f t="shared" si="25"/>
        <v>2366.7440333689083</v>
      </c>
      <c r="X20" s="64">
        <f t="shared" si="26"/>
        <v>1112.314932208332</v>
      </c>
      <c r="Y20" s="65">
        <f t="shared" si="27"/>
        <v>3479.0589655772401</v>
      </c>
      <c r="Z20" s="66">
        <f t="shared" si="4"/>
        <v>1159.7045763507651</v>
      </c>
      <c r="AA20" s="67">
        <f t="shared" si="5"/>
        <v>591.68600834222707</v>
      </c>
      <c r="AB20" s="68">
        <f t="shared" si="6"/>
        <v>449.68136634009255</v>
      </c>
      <c r="AC20" s="69">
        <f t="shared" si="7"/>
        <v>165.6720823358236</v>
      </c>
      <c r="AD20" s="66">
        <f t="shared" si="8"/>
        <v>656.26581000291583</v>
      </c>
      <c r="AE20" s="67">
        <f t="shared" si="9"/>
        <v>177.97038915333312</v>
      </c>
      <c r="AF20" s="68">
        <f t="shared" si="10"/>
        <v>177.97038915333312</v>
      </c>
      <c r="AG20" s="70">
        <f t="shared" si="11"/>
        <v>100.10834389874988</v>
      </c>
    </row>
    <row r="22" spans="1:33" x14ac:dyDescent="0.3">
      <c r="A22" s="32" t="s">
        <v>297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0"/>
    </row>
    <row r="23" spans="1:33" x14ac:dyDescent="0.3">
      <c r="W23" s="20"/>
      <c r="X23" s="20"/>
      <c r="Y23" s="21"/>
    </row>
    <row r="24" spans="1:33" x14ac:dyDescent="0.3">
      <c r="A24" s="32" t="s">
        <v>298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0"/>
    </row>
    <row r="26" spans="1:33" x14ac:dyDescent="0.3">
      <c r="A26" s="32" t="s">
        <v>299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0"/>
    </row>
    <row r="28" spans="1:33" x14ac:dyDescent="0.3">
      <c r="A28" s="32" t="s">
        <v>300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0"/>
    </row>
  </sheetData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7"/>
  <sheetViews>
    <sheetView zoomScale="90" zoomScaleNormal="90" workbookViewId="0">
      <selection activeCell="H15" sqref="H15"/>
    </sheetView>
  </sheetViews>
  <sheetFormatPr defaultRowHeight="14.4" x14ac:dyDescent="0.3"/>
  <cols>
    <col min="1" max="1" width="17" customWidth="1"/>
    <col min="2" max="4" width="12" customWidth="1"/>
    <col min="5" max="5" width="11.6640625" customWidth="1"/>
    <col min="6" max="7" width="19.44140625" customWidth="1"/>
    <col min="8" max="8" width="15.109375" customWidth="1"/>
    <col min="9" max="9" width="20.109375" customWidth="1"/>
    <col min="10" max="11" width="12" customWidth="1"/>
    <col min="12" max="12" width="18.5546875" customWidth="1"/>
    <col min="13" max="13" width="14.5546875" customWidth="1"/>
    <col min="14" max="14" width="15.6640625" customWidth="1"/>
    <col min="15" max="15" width="22.6640625" customWidth="1"/>
    <col min="16" max="17" width="13.88671875" customWidth="1"/>
    <col min="18" max="18" width="13.109375" customWidth="1"/>
    <col min="19" max="19" width="21.109375" customWidth="1"/>
    <col min="20" max="20" width="15.44140625" customWidth="1"/>
    <col min="21" max="21" width="15.88671875" customWidth="1"/>
    <col min="22" max="22" width="18.44140625" customWidth="1"/>
    <col min="23" max="23" width="13" customWidth="1"/>
    <col min="24" max="24" width="14" customWidth="1"/>
  </cols>
  <sheetData>
    <row r="1" spans="1:26" s="54" customFormat="1" ht="40.200000000000003" thickBot="1" x14ac:dyDescent="0.35">
      <c r="A1" s="57" t="s">
        <v>122</v>
      </c>
      <c r="B1" s="57" t="s">
        <v>117</v>
      </c>
      <c r="C1" s="57" t="s">
        <v>319</v>
      </c>
      <c r="D1" s="57" t="s">
        <v>320</v>
      </c>
      <c r="E1" s="57" t="s">
        <v>126</v>
      </c>
      <c r="F1" s="57" t="s">
        <v>321</v>
      </c>
      <c r="G1" s="57" t="s">
        <v>322</v>
      </c>
      <c r="H1" s="57" t="s">
        <v>323</v>
      </c>
      <c r="I1" s="57" t="s">
        <v>123</v>
      </c>
      <c r="J1" s="57" t="s">
        <v>324</v>
      </c>
      <c r="K1" s="57" t="s">
        <v>325</v>
      </c>
      <c r="L1" s="57" t="s">
        <v>124</v>
      </c>
      <c r="M1" s="57" t="s">
        <v>326</v>
      </c>
      <c r="N1" s="57" t="s">
        <v>327</v>
      </c>
      <c r="O1" s="145" t="s">
        <v>125</v>
      </c>
      <c r="P1" s="145" t="s">
        <v>328</v>
      </c>
      <c r="Q1" s="145" t="s">
        <v>329</v>
      </c>
      <c r="R1" s="145" t="s">
        <v>137</v>
      </c>
      <c r="S1" s="57" t="s">
        <v>330</v>
      </c>
      <c r="T1" s="57" t="s">
        <v>331</v>
      </c>
      <c r="U1" s="57" t="s">
        <v>332</v>
      </c>
      <c r="V1" s="57" t="s">
        <v>113</v>
      </c>
      <c r="W1" s="57" t="s">
        <v>333</v>
      </c>
      <c r="X1" s="57" t="s">
        <v>334</v>
      </c>
    </row>
    <row r="2" spans="1:26" ht="15.6" thickTop="1" thickBot="1" x14ac:dyDescent="0.35">
      <c r="A2" s="146" t="s">
        <v>122</v>
      </c>
      <c r="B2" s="147" t="s">
        <v>64</v>
      </c>
      <c r="C2" s="147" t="s">
        <v>23</v>
      </c>
      <c r="D2" s="147" t="s">
        <v>63</v>
      </c>
      <c r="E2" s="147"/>
      <c r="F2" s="147" t="s">
        <v>64</v>
      </c>
      <c r="G2" s="147" t="s">
        <v>23</v>
      </c>
      <c r="H2" s="147" t="s">
        <v>63</v>
      </c>
      <c r="I2" s="147" t="s">
        <v>64</v>
      </c>
      <c r="J2" s="147" t="s">
        <v>23</v>
      </c>
      <c r="K2" s="147" t="s">
        <v>63</v>
      </c>
      <c r="L2" s="147" t="s">
        <v>64</v>
      </c>
      <c r="M2" s="147" t="s">
        <v>23</v>
      </c>
      <c r="N2" s="147" t="s">
        <v>63</v>
      </c>
      <c r="O2" s="147" t="s">
        <v>64</v>
      </c>
      <c r="P2" s="147" t="s">
        <v>23</v>
      </c>
      <c r="Q2" s="147" t="s">
        <v>63</v>
      </c>
      <c r="R2" s="147"/>
      <c r="S2" s="147" t="s">
        <v>64</v>
      </c>
      <c r="T2" s="147" t="s">
        <v>23</v>
      </c>
      <c r="U2" s="147" t="s">
        <v>63</v>
      </c>
      <c r="V2" s="147" t="s">
        <v>64</v>
      </c>
      <c r="W2" s="147" t="s">
        <v>23</v>
      </c>
      <c r="X2" s="147" t="s">
        <v>63</v>
      </c>
      <c r="Z2" s="22"/>
    </row>
    <row r="3" spans="1:26" ht="15.6" thickTop="1" thickBot="1" x14ac:dyDescent="0.35">
      <c r="A3" s="73">
        <v>2020</v>
      </c>
      <c r="B3" s="59">
        <f>'5.1.1 Nakłady lata'!O2</f>
        <v>3028.6539796319998</v>
      </c>
      <c r="C3" s="59">
        <f>'5.1.1 Nakłady lata'!S2</f>
        <v>5866.0713643680001</v>
      </c>
      <c r="D3" s="59">
        <f>SUM(B3:C3)</f>
        <v>8894.7253440000004</v>
      </c>
      <c r="E3" s="280">
        <v>0.22600000000000001</v>
      </c>
      <c r="F3" s="59">
        <f>B3*E3</f>
        <v>684.47579939683203</v>
      </c>
      <c r="G3" s="59">
        <f>C3*E3</f>
        <v>1325.7321283471681</v>
      </c>
      <c r="H3" s="59">
        <f>SUM(F3:G3)</f>
        <v>2010.2079277440002</v>
      </c>
      <c r="I3" s="148">
        <f>'5.1.1 Nakłady lata'!I2</f>
        <v>72586.57661483626</v>
      </c>
      <c r="J3" s="149">
        <f>'5.1.1 Nakłady lata'!M2</f>
        <v>86642.463617222937</v>
      </c>
      <c r="K3" s="149">
        <f>SUM(I3:J3)</f>
        <v>159229.0402320592</v>
      </c>
      <c r="L3" s="148">
        <f>'5.1.1 Nakłady lata'!C2</f>
        <v>108879.86492225439</v>
      </c>
      <c r="M3" s="149">
        <f>'5.1.1 Nakłady lata'!G2</f>
        <v>129963.69542583442</v>
      </c>
      <c r="N3" s="149">
        <f>SUM(L3:M3)</f>
        <v>238843.56034808879</v>
      </c>
      <c r="O3" s="148">
        <f>I3+L3</f>
        <v>181466.44153709064</v>
      </c>
      <c r="P3" s="149">
        <f>J3+M3</f>
        <v>216606.15904305736</v>
      </c>
      <c r="Q3" s="149">
        <f>SUM(O3:P3)</f>
        <v>398072.60058014799</v>
      </c>
      <c r="R3" s="279">
        <v>0.29699999999999999</v>
      </c>
      <c r="S3" s="148">
        <f>O3*R3</f>
        <v>53895.533136515915</v>
      </c>
      <c r="T3" s="149">
        <f>P3*R3</f>
        <v>64332.029235788032</v>
      </c>
      <c r="U3" s="149">
        <f>SUM(S3:T3)</f>
        <v>118227.56237230395</v>
      </c>
      <c r="V3" s="148">
        <f>S3+F3</f>
        <v>54580.008935912745</v>
      </c>
      <c r="W3" s="149">
        <f>T3+G3</f>
        <v>65657.761364135193</v>
      </c>
      <c r="X3" s="149">
        <f>SUM(V3:W3)</f>
        <v>120237.77030004794</v>
      </c>
      <c r="Y3" s="25"/>
    </row>
    <row r="4" spans="1:26" ht="15" thickBot="1" x14ac:dyDescent="0.35">
      <c r="A4" s="73">
        <v>2021</v>
      </c>
      <c r="B4" s="59">
        <f>'5.1.1 Nakłady lata'!O3</f>
        <v>3324.1370335198471</v>
      </c>
      <c r="C4" s="59">
        <f>'5.1.1 Nakłady lata'!S3</f>
        <v>6438.3799518541537</v>
      </c>
      <c r="D4" s="59">
        <f t="shared" ref="D4:D12" si="0">SUM(B4:C4)</f>
        <v>9762.5169853740008</v>
      </c>
      <c r="E4" s="280">
        <v>0.22600000000000001</v>
      </c>
      <c r="F4" s="59">
        <f t="shared" ref="F4:F12" si="1">B4*E4</f>
        <v>751.25496957548546</v>
      </c>
      <c r="G4" s="59">
        <f t="shared" ref="G4:G12" si="2">C4*E4</f>
        <v>1455.0738691190388</v>
      </c>
      <c r="H4" s="59">
        <f t="shared" ref="H4:H12" si="3">SUM(F4:G4)</f>
        <v>2206.3288386945242</v>
      </c>
      <c r="I4" s="148">
        <f>'5.1.1 Nakłady lata'!I3</f>
        <v>74981.933643125842</v>
      </c>
      <c r="J4" s="149">
        <f>'5.1.1 Nakłady lata'!M3</f>
        <v>89501.664916591282</v>
      </c>
      <c r="K4" s="149">
        <f t="shared" ref="K4:K12" si="4">SUM(I4:J4)</f>
        <v>164483.59855971712</v>
      </c>
      <c r="L4" s="148">
        <f>'5.1.1 Nakłady lata'!C3</f>
        <v>112472.90046468878</v>
      </c>
      <c r="M4" s="149">
        <f>'5.1.1 Nakłady lata'!G3</f>
        <v>134252.49737488694</v>
      </c>
      <c r="N4" s="149">
        <f t="shared" ref="N4:N12" si="5">SUM(L4:M4)</f>
        <v>246725.39783957571</v>
      </c>
      <c r="O4" s="148">
        <f t="shared" ref="O4:O12" si="6">I4+L4</f>
        <v>187454.83410781462</v>
      </c>
      <c r="P4" s="149">
        <f t="shared" ref="P4:P12" si="7">J4+M4</f>
        <v>223754.16229147822</v>
      </c>
      <c r="Q4" s="149">
        <f t="shared" ref="Q4:Q13" si="8">SUM(O4:P4)</f>
        <v>411208.99639929284</v>
      </c>
      <c r="R4" s="279">
        <v>0.29699999999999999</v>
      </c>
      <c r="S4" s="148">
        <f t="shared" ref="S4:S12" si="9">O4*R4</f>
        <v>55674.085730020939</v>
      </c>
      <c r="T4" s="149">
        <f t="shared" ref="T4:T12" si="10">P4*R4</f>
        <v>66454.986200569023</v>
      </c>
      <c r="U4" s="149">
        <f t="shared" ref="U4:U11" si="11">SUM(S4:T4)</f>
        <v>122129.07193058997</v>
      </c>
      <c r="V4" s="148">
        <f t="shared" ref="V4:V12" si="12">S4+F4</f>
        <v>56425.340699596425</v>
      </c>
      <c r="W4" s="149">
        <f t="shared" ref="W4:W12" si="13">T4+G4</f>
        <v>67910.060069688057</v>
      </c>
      <c r="X4" s="149">
        <f t="shared" ref="X4:X13" si="14">SUM(V4:W4)</f>
        <v>124335.40076928449</v>
      </c>
      <c r="Y4" s="23"/>
    </row>
    <row r="5" spans="1:26" ht="15" thickBot="1" x14ac:dyDescent="0.35">
      <c r="A5" s="73">
        <v>2022</v>
      </c>
      <c r="B5" s="59">
        <f>'5.1.1 Nakłady lata'!O4</f>
        <v>3642.8631137926322</v>
      </c>
      <c r="C5" s="59">
        <f>'5.1.1 Nakłady lata'!S4</f>
        <v>7055.7069707672272</v>
      </c>
      <c r="D5" s="59">
        <f t="shared" si="0"/>
        <v>10698.570084559859</v>
      </c>
      <c r="E5" s="280">
        <v>0.22600000000000001</v>
      </c>
      <c r="F5" s="59">
        <f t="shared" si="1"/>
        <v>823.28706371713486</v>
      </c>
      <c r="G5" s="59">
        <f t="shared" si="2"/>
        <v>1594.5897753933934</v>
      </c>
      <c r="H5" s="59">
        <f t="shared" si="3"/>
        <v>2417.8768391105282</v>
      </c>
      <c r="I5" s="148">
        <f>'5.1.1 Nakłady lata'!I4</f>
        <v>77606.301320635248</v>
      </c>
      <c r="J5" s="149">
        <f>'5.1.1 Nakłady lata'!M4</f>
        <v>92634.223188671982</v>
      </c>
      <c r="K5" s="149">
        <f t="shared" si="4"/>
        <v>170240.52450930723</v>
      </c>
      <c r="L5" s="148">
        <f>'5.1.1 Nakłady lata'!C4</f>
        <v>116409.45198095287</v>
      </c>
      <c r="M5" s="149">
        <f>'5.1.1 Nakłady lata'!G4</f>
        <v>138951.33478300797</v>
      </c>
      <c r="N5" s="149">
        <f t="shared" si="5"/>
        <v>255360.78676396084</v>
      </c>
      <c r="O5" s="148">
        <f t="shared" si="6"/>
        <v>194015.75330158812</v>
      </c>
      <c r="P5" s="149">
        <f t="shared" si="7"/>
        <v>231585.55797167995</v>
      </c>
      <c r="Q5" s="149">
        <f t="shared" si="8"/>
        <v>425601.31127326807</v>
      </c>
      <c r="R5" s="279">
        <v>0.29699999999999999</v>
      </c>
      <c r="S5" s="148">
        <f t="shared" si="9"/>
        <v>57622.678730571672</v>
      </c>
      <c r="T5" s="149">
        <f t="shared" si="10"/>
        <v>68780.910717588937</v>
      </c>
      <c r="U5" s="149">
        <f t="shared" si="11"/>
        <v>126403.58944816061</v>
      </c>
      <c r="V5" s="148">
        <f t="shared" si="12"/>
        <v>58445.965794288808</v>
      </c>
      <c r="W5" s="149">
        <f t="shared" si="13"/>
        <v>70375.500492982334</v>
      </c>
      <c r="X5" s="149">
        <f t="shared" si="14"/>
        <v>128821.46628727115</v>
      </c>
      <c r="Y5" s="23"/>
    </row>
    <row r="6" spans="1:26" ht="15" thickBot="1" x14ac:dyDescent="0.35">
      <c r="A6" s="73">
        <v>2023</v>
      </c>
      <c r="B6" s="59">
        <f>'5.1.1 Nakłady lata'!O5</f>
        <v>3979.8279518184509</v>
      </c>
      <c r="C6" s="59">
        <f>'5.1.1 Nakłady lata'!S5</f>
        <v>7708.3598655631968</v>
      </c>
      <c r="D6" s="59">
        <f t="shared" si="0"/>
        <v>11688.187817381648</v>
      </c>
      <c r="E6" s="280">
        <v>0.22600000000000001</v>
      </c>
      <c r="F6" s="59">
        <f t="shared" si="1"/>
        <v>899.44111711096991</v>
      </c>
      <c r="G6" s="59">
        <f t="shared" si="2"/>
        <v>1742.0893296172826</v>
      </c>
      <c r="H6" s="59">
        <f t="shared" si="3"/>
        <v>2641.5304467282526</v>
      </c>
      <c r="I6" s="148">
        <f>'5.1.1 Nakłady lata'!I5</f>
        <v>80322.521866857482</v>
      </c>
      <c r="J6" s="149">
        <f>'5.1.1 Nakłady lata'!M5</f>
        <v>95876.421000275484</v>
      </c>
      <c r="K6" s="149">
        <f t="shared" si="4"/>
        <v>176198.94286713295</v>
      </c>
      <c r="L6" s="148">
        <f>'5.1.1 Nakłady lata'!C5</f>
        <v>120483.78280028621</v>
      </c>
      <c r="M6" s="149">
        <f>'5.1.1 Nakłady lata'!G5</f>
        <v>143814.63150041323</v>
      </c>
      <c r="N6" s="149">
        <f t="shared" si="5"/>
        <v>264298.41430069943</v>
      </c>
      <c r="O6" s="148">
        <f t="shared" si="6"/>
        <v>200806.30466714368</v>
      </c>
      <c r="P6" s="149">
        <f t="shared" si="7"/>
        <v>239691.0525006887</v>
      </c>
      <c r="Q6" s="149">
        <f t="shared" si="8"/>
        <v>440497.35716783238</v>
      </c>
      <c r="R6" s="279">
        <v>0.29699999999999999</v>
      </c>
      <c r="S6" s="148">
        <f t="shared" si="9"/>
        <v>59639.472486141669</v>
      </c>
      <c r="T6" s="149">
        <f t="shared" si="10"/>
        <v>71188.242592704541</v>
      </c>
      <c r="U6" s="149">
        <f t="shared" si="11"/>
        <v>130827.7150788462</v>
      </c>
      <c r="V6" s="148">
        <f t="shared" si="12"/>
        <v>60538.913603252637</v>
      </c>
      <c r="W6" s="149">
        <f t="shared" si="13"/>
        <v>72930.331922321828</v>
      </c>
      <c r="X6" s="149">
        <f t="shared" si="14"/>
        <v>133469.24552557446</v>
      </c>
      <c r="Y6" s="23"/>
    </row>
    <row r="7" spans="1:26" ht="15" thickBot="1" x14ac:dyDescent="0.35">
      <c r="A7" s="73">
        <v>2024</v>
      </c>
      <c r="B7" s="59">
        <f>'5.1.1 Nakłady lata'!O6</f>
        <v>4335.9178211916806</v>
      </c>
      <c r="C7" s="59">
        <f>'5.1.1 Nakłady lata'!S6</f>
        <v>8398.0552219556921</v>
      </c>
      <c r="D7" s="59">
        <f t="shared" si="0"/>
        <v>12733.973043147373</v>
      </c>
      <c r="E7" s="280">
        <v>0.22600000000000001</v>
      </c>
      <c r="F7" s="59">
        <f t="shared" si="1"/>
        <v>979.9174275893198</v>
      </c>
      <c r="G7" s="59">
        <f t="shared" si="2"/>
        <v>1897.9604801619864</v>
      </c>
      <c r="H7" s="59">
        <f t="shared" si="3"/>
        <v>2877.8779077513063</v>
      </c>
      <c r="I7" s="148">
        <f>'5.1.1 Nakłady lata'!I6</f>
        <v>83133.810132197483</v>
      </c>
      <c r="J7" s="149">
        <f>'5.1.1 Nakłady lata'!M6</f>
        <v>99232.095735285126</v>
      </c>
      <c r="K7" s="149">
        <f t="shared" si="4"/>
        <v>182365.90586748259</v>
      </c>
      <c r="L7" s="148">
        <f>'5.1.1 Nakłady lata'!C6</f>
        <v>124700.71519829621</v>
      </c>
      <c r="M7" s="149">
        <f>'5.1.1 Nakłady lata'!G6</f>
        <v>148848.14360292768</v>
      </c>
      <c r="N7" s="149">
        <f t="shared" si="5"/>
        <v>273548.85880122392</v>
      </c>
      <c r="O7" s="148">
        <f t="shared" si="6"/>
        <v>207834.52533049369</v>
      </c>
      <c r="P7" s="149">
        <f t="shared" si="7"/>
        <v>248080.23933821282</v>
      </c>
      <c r="Q7" s="149">
        <f t="shared" si="8"/>
        <v>455914.76466870651</v>
      </c>
      <c r="R7" s="279">
        <v>0.29699999999999999</v>
      </c>
      <c r="S7" s="148">
        <f t="shared" si="9"/>
        <v>61726.854023156622</v>
      </c>
      <c r="T7" s="149">
        <f t="shared" si="10"/>
        <v>73679.8310834492</v>
      </c>
      <c r="U7" s="149">
        <f t="shared" si="11"/>
        <v>135406.68510660582</v>
      </c>
      <c r="V7" s="148">
        <f t="shared" si="12"/>
        <v>62706.771450745939</v>
      </c>
      <c r="W7" s="149">
        <f t="shared" si="13"/>
        <v>75577.791563611187</v>
      </c>
      <c r="X7" s="149">
        <f t="shared" si="14"/>
        <v>138284.56301435712</v>
      </c>
      <c r="Y7" s="23"/>
    </row>
    <row r="8" spans="1:26" ht="15" thickBot="1" x14ac:dyDescent="0.35">
      <c r="A8" s="73">
        <v>2025</v>
      </c>
      <c r="B8" s="59">
        <f>'5.1.1 Nakłady lata'!O7</f>
        <v>4712.0586921800586</v>
      </c>
      <c r="C8" s="59">
        <f>'5.1.1 Nakłady lata'!S7</f>
        <v>9126.5865124603479</v>
      </c>
      <c r="D8" s="59">
        <f t="shared" si="0"/>
        <v>13838.645204640407</v>
      </c>
      <c r="E8" s="280">
        <v>0.22600000000000001</v>
      </c>
      <c r="F8" s="59">
        <f t="shared" si="1"/>
        <v>1064.9252644326932</v>
      </c>
      <c r="G8" s="59">
        <f t="shared" si="2"/>
        <v>2062.6085518160385</v>
      </c>
      <c r="H8" s="59">
        <f t="shared" si="3"/>
        <v>3127.5338162487315</v>
      </c>
      <c r="I8" s="148">
        <f>'5.1.1 Nakłady lata'!I7</f>
        <v>86043.493486824387</v>
      </c>
      <c r="J8" s="149">
        <f>'5.1.1 Nakłady lata'!M7</f>
        <v>102705.21908602009</v>
      </c>
      <c r="K8" s="149">
        <f t="shared" si="4"/>
        <v>188748.71257284447</v>
      </c>
      <c r="L8" s="148">
        <f>'5.1.1 Nakłady lata'!C7</f>
        <v>129065.24023023658</v>
      </c>
      <c r="M8" s="149">
        <f>'5.1.1 Nakłady lata'!G7</f>
        <v>154057.82862903015</v>
      </c>
      <c r="N8" s="149">
        <f t="shared" si="5"/>
        <v>283123.0688592667</v>
      </c>
      <c r="O8" s="148">
        <f t="shared" si="6"/>
        <v>215108.73371706097</v>
      </c>
      <c r="P8" s="149">
        <f t="shared" si="7"/>
        <v>256763.04771505023</v>
      </c>
      <c r="Q8" s="149">
        <f t="shared" si="8"/>
        <v>471871.78143211117</v>
      </c>
      <c r="R8" s="279">
        <v>0.29699999999999999</v>
      </c>
      <c r="S8" s="148">
        <f t="shared" si="9"/>
        <v>63887.293913967107</v>
      </c>
      <c r="T8" s="149">
        <f t="shared" si="10"/>
        <v>76258.625171369917</v>
      </c>
      <c r="U8" s="149">
        <f t="shared" si="11"/>
        <v>140145.91908533702</v>
      </c>
      <c r="V8" s="148">
        <f t="shared" si="12"/>
        <v>64952.219178399799</v>
      </c>
      <c r="W8" s="149">
        <f t="shared" si="13"/>
        <v>78321.233723185956</v>
      </c>
      <c r="X8" s="149">
        <f t="shared" si="14"/>
        <v>143273.45290158576</v>
      </c>
      <c r="Y8" s="23"/>
    </row>
    <row r="9" spans="1:26" ht="15" thickBot="1" x14ac:dyDescent="0.35">
      <c r="A9" s="73">
        <v>2026</v>
      </c>
      <c r="B9" s="59">
        <f>'5.1.1 Nakłady lata'!O8</f>
        <v>5109.2179248066623</v>
      </c>
      <c r="C9" s="59">
        <f>'5.1.1 Nakłady lata'!S8</f>
        <v>9895.8273756534327</v>
      </c>
      <c r="D9" s="59">
        <f t="shared" si="0"/>
        <v>15005.045300460095</v>
      </c>
      <c r="E9" s="280">
        <v>0.22600000000000001</v>
      </c>
      <c r="F9" s="59">
        <f t="shared" si="1"/>
        <v>1154.6832510063057</v>
      </c>
      <c r="G9" s="59">
        <f t="shared" si="2"/>
        <v>2236.456986897676</v>
      </c>
      <c r="H9" s="59">
        <f t="shared" si="3"/>
        <v>3391.1402379039819</v>
      </c>
      <c r="I9" s="148">
        <f>'5.1.1 Nakłady lata'!I8</f>
        <v>89055.015758863228</v>
      </c>
      <c r="J9" s="149">
        <f>'5.1.1 Nakłady lata'!M8</f>
        <v>106299.9017540308</v>
      </c>
      <c r="K9" s="149">
        <f t="shared" si="4"/>
        <v>195354.91751289403</v>
      </c>
      <c r="L9" s="148">
        <f>'5.1.1 Nakłady lata'!C8</f>
        <v>133582.52363829484</v>
      </c>
      <c r="M9" s="149">
        <f>'5.1.1 Nakłady lata'!G8</f>
        <v>159449.8526310462</v>
      </c>
      <c r="N9" s="149">
        <f t="shared" si="5"/>
        <v>293032.37626934104</v>
      </c>
      <c r="O9" s="148">
        <f t="shared" si="6"/>
        <v>222637.53939715808</v>
      </c>
      <c r="P9" s="149">
        <f t="shared" si="7"/>
        <v>265749.75438507699</v>
      </c>
      <c r="Q9" s="149">
        <f t="shared" si="8"/>
        <v>488387.29378223507</v>
      </c>
      <c r="R9" s="279">
        <v>0.29699999999999999</v>
      </c>
      <c r="S9" s="148">
        <f t="shared" si="9"/>
        <v>66123.349200955941</v>
      </c>
      <c r="T9" s="149">
        <f t="shared" si="10"/>
        <v>78927.677052367857</v>
      </c>
      <c r="U9" s="149">
        <f t="shared" si="11"/>
        <v>145051.0262533238</v>
      </c>
      <c r="V9" s="148">
        <f t="shared" si="12"/>
        <v>67278.032451962252</v>
      </c>
      <c r="W9" s="149">
        <f t="shared" si="13"/>
        <v>81164.13403926554</v>
      </c>
      <c r="X9" s="149">
        <f t="shared" si="14"/>
        <v>148442.16649122781</v>
      </c>
      <c r="Y9" s="23"/>
    </row>
    <row r="10" spans="1:26" ht="15" thickBot="1" x14ac:dyDescent="0.35">
      <c r="A10" s="73">
        <v>2027</v>
      </c>
      <c r="B10" s="59">
        <f>'5.1.1 Nakłady lata'!O9</f>
        <v>5528.4060318192096</v>
      </c>
      <c r="C10" s="59">
        <f>'5.1.1 Nakłady lata'!S9</f>
        <v>10707.735030792273</v>
      </c>
      <c r="D10" s="59">
        <f t="shared" si="0"/>
        <v>16236.141062611483</v>
      </c>
      <c r="E10" s="280">
        <v>0.22600000000000001</v>
      </c>
      <c r="F10" s="59">
        <f t="shared" si="1"/>
        <v>1249.4197631911413</v>
      </c>
      <c r="G10" s="59">
        <f t="shared" si="2"/>
        <v>2419.948116959054</v>
      </c>
      <c r="H10" s="59">
        <f t="shared" si="3"/>
        <v>3669.3678801501956</v>
      </c>
      <c r="I10" s="148">
        <f>'5.1.1 Nakłady lata'!I9</f>
        <v>92171.941310423455</v>
      </c>
      <c r="J10" s="149">
        <f>'5.1.1 Nakłady lata'!M9</f>
        <v>110020.39831542186</v>
      </c>
      <c r="K10" s="149">
        <f t="shared" si="4"/>
        <v>202192.33962584531</v>
      </c>
      <c r="L10" s="148">
        <f>'5.1.1 Nakłady lata'!C9</f>
        <v>138257.91196563517</v>
      </c>
      <c r="M10" s="149">
        <f>'5.1.1 Nakłady lata'!G9</f>
        <v>165030.5974731328</v>
      </c>
      <c r="N10" s="149">
        <f t="shared" si="5"/>
        <v>303288.50943876797</v>
      </c>
      <c r="O10" s="148">
        <f t="shared" si="6"/>
        <v>230429.85327605862</v>
      </c>
      <c r="P10" s="149">
        <f t="shared" si="7"/>
        <v>275050.99578855466</v>
      </c>
      <c r="Q10" s="149">
        <f t="shared" si="8"/>
        <v>505480.84906461329</v>
      </c>
      <c r="R10" s="279">
        <v>0.29699999999999999</v>
      </c>
      <c r="S10" s="148">
        <f t="shared" si="9"/>
        <v>68437.666422989409</v>
      </c>
      <c r="T10" s="149">
        <f t="shared" si="10"/>
        <v>81690.145749200732</v>
      </c>
      <c r="U10" s="149">
        <f t="shared" si="11"/>
        <v>150127.81217219014</v>
      </c>
      <c r="V10" s="148">
        <f t="shared" si="12"/>
        <v>69687.086186180546</v>
      </c>
      <c r="W10" s="149">
        <f t="shared" si="13"/>
        <v>84110.09386615979</v>
      </c>
      <c r="X10" s="149">
        <f t="shared" si="14"/>
        <v>153797.18005234032</v>
      </c>
      <c r="Y10" s="23"/>
    </row>
    <row r="11" spans="1:26" ht="15" thickBot="1" x14ac:dyDescent="0.35">
      <c r="A11" s="73">
        <v>2028</v>
      </c>
      <c r="B11" s="59">
        <f>'5.1.1 Nakłady lata'!O10</f>
        <v>5970.6785143647448</v>
      </c>
      <c r="C11" s="59">
        <f>'5.1.1 Nakłady lata'!S10</f>
        <v>11564.353833255653</v>
      </c>
      <c r="D11" s="59">
        <f t="shared" si="0"/>
        <v>17535.032347620399</v>
      </c>
      <c r="E11" s="280">
        <v>0.22600000000000001</v>
      </c>
      <c r="F11" s="59">
        <f t="shared" si="1"/>
        <v>1349.3733442464325</v>
      </c>
      <c r="G11" s="59">
        <f t="shared" si="2"/>
        <v>2613.5439663157777</v>
      </c>
      <c r="H11" s="59">
        <f t="shared" si="3"/>
        <v>3962.9173105622103</v>
      </c>
      <c r="I11" s="148">
        <f>'5.1.1 Nakłady lata'!I10</f>
        <v>95397.959256288246</v>
      </c>
      <c r="J11" s="149">
        <f>'5.1.1 Nakłady lata'!M10</f>
        <v>113871.11225646161</v>
      </c>
      <c r="K11" s="149">
        <f t="shared" si="4"/>
        <v>209269.07151274986</v>
      </c>
      <c r="L11" s="148">
        <f>'5.1.1 Nakłady lata'!C10</f>
        <v>143096.93888443237</v>
      </c>
      <c r="M11" s="149">
        <f>'5.1.1 Nakłady lata'!G10</f>
        <v>170806.66838469243</v>
      </c>
      <c r="N11" s="149">
        <f t="shared" si="5"/>
        <v>313903.60726912483</v>
      </c>
      <c r="O11" s="148">
        <f t="shared" si="6"/>
        <v>238494.89814072062</v>
      </c>
      <c r="P11" s="149">
        <f t="shared" si="7"/>
        <v>284677.78064115404</v>
      </c>
      <c r="Q11" s="149">
        <f t="shared" si="8"/>
        <v>523172.67878187465</v>
      </c>
      <c r="R11" s="279">
        <v>0.29699999999999999</v>
      </c>
      <c r="S11" s="148">
        <f t="shared" si="9"/>
        <v>70832.98474779402</v>
      </c>
      <c r="T11" s="149">
        <f t="shared" si="10"/>
        <v>84549.300850422747</v>
      </c>
      <c r="U11" s="149">
        <f t="shared" si="11"/>
        <v>155382.28559821675</v>
      </c>
      <c r="V11" s="148">
        <f t="shared" si="12"/>
        <v>72182.358092040449</v>
      </c>
      <c r="W11" s="149">
        <f t="shared" si="13"/>
        <v>87162.844816738521</v>
      </c>
      <c r="X11" s="149">
        <f t="shared" si="14"/>
        <v>159345.20290877897</v>
      </c>
      <c r="Y11" s="23"/>
    </row>
    <row r="12" spans="1:26" ht="15" thickBot="1" x14ac:dyDescent="0.35">
      <c r="A12" s="73">
        <v>2029</v>
      </c>
      <c r="B12" s="59">
        <f>'5.1.1 Nakłady lata'!O11</f>
        <v>6437.1377732994906</v>
      </c>
      <c r="C12" s="59">
        <f>'5.1.1 Nakłady lata'!S11</f>
        <v>12467.818976478749</v>
      </c>
      <c r="D12" s="59">
        <f t="shared" si="0"/>
        <v>18904.956749778241</v>
      </c>
      <c r="E12" s="280">
        <v>0.22600000000000001</v>
      </c>
      <c r="F12" s="59">
        <f t="shared" si="1"/>
        <v>1454.7931367656849</v>
      </c>
      <c r="G12" s="59">
        <f t="shared" si="2"/>
        <v>2817.7270886841975</v>
      </c>
      <c r="H12" s="59">
        <f t="shared" si="3"/>
        <v>4272.5202254498827</v>
      </c>
      <c r="I12" s="148">
        <f>'5.1.1 Nakłady lata'!I11</f>
        <v>98736.887830258347</v>
      </c>
      <c r="J12" s="149">
        <f>'5.1.1 Nakłady lata'!M11</f>
        <v>117856.60118543776</v>
      </c>
      <c r="K12" s="149">
        <f t="shared" si="4"/>
        <v>216593.4890156961</v>
      </c>
      <c r="L12" s="148">
        <f>'5.1.1 Nakłady lata'!C11</f>
        <v>148105.33174538752</v>
      </c>
      <c r="M12" s="149">
        <f>'5.1.1 Nakłady lata'!G11</f>
        <v>176784.90177815664</v>
      </c>
      <c r="N12" s="149">
        <f t="shared" si="5"/>
        <v>324890.23352354416</v>
      </c>
      <c r="O12" s="148">
        <f t="shared" si="6"/>
        <v>246842.21957564587</v>
      </c>
      <c r="P12" s="149">
        <f t="shared" si="7"/>
        <v>294641.50296359439</v>
      </c>
      <c r="Q12" s="149">
        <f t="shared" si="8"/>
        <v>541483.72253924026</v>
      </c>
      <c r="R12" s="279">
        <v>0.29699999999999999</v>
      </c>
      <c r="S12" s="148">
        <f t="shared" si="9"/>
        <v>73312.139213966817</v>
      </c>
      <c r="T12" s="149">
        <f t="shared" si="10"/>
        <v>87508.526380187526</v>
      </c>
      <c r="U12" s="149">
        <f>SUM(S12:T12)</f>
        <v>160820.66559415433</v>
      </c>
      <c r="V12" s="148">
        <f t="shared" si="12"/>
        <v>74766.932350732503</v>
      </c>
      <c r="W12" s="149">
        <f t="shared" si="13"/>
        <v>90326.253468871728</v>
      </c>
      <c r="X12" s="149">
        <f t="shared" si="14"/>
        <v>165093.18581960423</v>
      </c>
      <c r="Y12" s="23"/>
    </row>
    <row r="13" spans="1:26" x14ac:dyDescent="0.3">
      <c r="A13" s="150" t="s">
        <v>63</v>
      </c>
      <c r="B13" s="151">
        <f>SUM(B3:B12)</f>
        <v>46068.898836424763</v>
      </c>
      <c r="C13" s="151">
        <f t="shared" ref="C13:D13" si="15">SUM(C3:C12)</f>
        <v>89228.895103148723</v>
      </c>
      <c r="D13" s="151">
        <f t="shared" si="15"/>
        <v>135297.79393957352</v>
      </c>
      <c r="E13" s="152"/>
      <c r="F13" s="151">
        <f>SUM(F3:F12)</f>
        <v>10411.571137032</v>
      </c>
      <c r="G13" s="151">
        <f t="shared" ref="G13:H13" si="16">SUM(G3:G12)</f>
        <v>20165.730293311612</v>
      </c>
      <c r="H13" s="151">
        <f t="shared" si="16"/>
        <v>30577.301430343614</v>
      </c>
      <c r="I13" s="153">
        <f t="shared" ref="I13:P13" si="17">SUM(I3:I12)</f>
        <v>850036.44122030993</v>
      </c>
      <c r="J13" s="151">
        <f t="shared" si="17"/>
        <v>1014640.1010554191</v>
      </c>
      <c r="K13" s="151">
        <f t="shared" si="17"/>
        <v>1864676.5422757287</v>
      </c>
      <c r="L13" s="153">
        <f t="shared" si="17"/>
        <v>1275054.6618304648</v>
      </c>
      <c r="M13" s="151">
        <f t="shared" si="17"/>
        <v>1521960.1515831286</v>
      </c>
      <c r="N13" s="151">
        <f t="shared" si="17"/>
        <v>2797014.813413593</v>
      </c>
      <c r="O13" s="154">
        <f t="shared" si="17"/>
        <v>2125091.1030507749</v>
      </c>
      <c r="P13" s="151">
        <f t="shared" si="17"/>
        <v>2536600.2526385477</v>
      </c>
      <c r="Q13" s="151">
        <f t="shared" si="8"/>
        <v>4661691.3556893226</v>
      </c>
      <c r="R13" s="151"/>
      <c r="S13" s="154">
        <f>SUM(S3:S12)</f>
        <v>631152.05760608008</v>
      </c>
      <c r="T13" s="151">
        <f>SUM(T3:T12)</f>
        <v>753370.27503364848</v>
      </c>
      <c r="U13" s="151">
        <f>SUM(U3:U12)</f>
        <v>1384522.3326397284</v>
      </c>
      <c r="V13" s="154">
        <f>SUM(V3:V12)</f>
        <v>641563.62874311209</v>
      </c>
      <c r="W13" s="151">
        <f>SUM(W3:W12)</f>
        <v>773536.00532696012</v>
      </c>
      <c r="X13" s="151">
        <f t="shared" si="14"/>
        <v>1415099.6340700723</v>
      </c>
    </row>
    <row r="15" spans="1:26" x14ac:dyDescent="0.3">
      <c r="A15" s="32" t="s">
        <v>335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0"/>
    </row>
    <row r="17" spans="1:24" x14ac:dyDescent="0.3">
      <c r="A17" s="32" t="s">
        <v>336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0"/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70C0"/>
  </sheetPr>
  <dimension ref="A1:AY26"/>
  <sheetViews>
    <sheetView zoomScale="90" zoomScaleNormal="90" workbookViewId="0">
      <selection activeCell="AQ9" sqref="AQ9"/>
    </sheetView>
  </sheetViews>
  <sheetFormatPr defaultRowHeight="14.4" x14ac:dyDescent="0.3"/>
  <cols>
    <col min="1" max="1" width="25" customWidth="1"/>
    <col min="2" max="2" width="12.5546875" customWidth="1"/>
    <col min="3" max="3" width="12.88671875" customWidth="1"/>
    <col min="4" max="6" width="11.88671875" customWidth="1"/>
    <col min="7" max="7" width="12.6640625" customWidth="1"/>
    <col min="8" max="8" width="13" customWidth="1"/>
    <col min="9" max="9" width="12.109375" customWidth="1"/>
    <col min="10" max="11" width="11.88671875" customWidth="1"/>
    <col min="12" max="12" width="10.88671875" customWidth="1"/>
    <col min="13" max="13" width="11.88671875" customWidth="1"/>
    <col min="14" max="16" width="13" customWidth="1"/>
    <col min="17" max="17" width="12.6640625" customWidth="1"/>
    <col min="18" max="21" width="13" customWidth="1"/>
    <col min="22" max="22" width="9.5546875" customWidth="1"/>
    <col min="23" max="26" width="13" customWidth="1"/>
    <col min="27" max="27" width="12.6640625" customWidth="1"/>
    <col min="28" max="28" width="13.6640625" customWidth="1"/>
    <col min="29" max="31" width="13" customWidth="1"/>
    <col min="32" max="32" width="9.5546875" customWidth="1"/>
    <col min="33" max="36" width="13" customWidth="1"/>
    <col min="37" max="37" width="14.6640625" customWidth="1"/>
    <col min="38" max="38" width="13.44140625" customWidth="1"/>
    <col min="39" max="39" width="13" customWidth="1"/>
    <col min="40" max="40" width="13.109375" customWidth="1"/>
    <col min="41" max="41" width="13" customWidth="1"/>
    <col min="42" max="42" width="8.33203125" customWidth="1"/>
    <col min="43" max="46" width="13" customWidth="1"/>
    <col min="47" max="47" width="8.33203125" customWidth="1"/>
    <col min="48" max="51" width="13" customWidth="1"/>
  </cols>
  <sheetData>
    <row r="1" spans="1:51" x14ac:dyDescent="0.3">
      <c r="A1" s="40" t="s">
        <v>24</v>
      </c>
      <c r="B1" s="38" t="s">
        <v>25</v>
      </c>
      <c r="C1" s="39" t="s">
        <v>252</v>
      </c>
      <c r="D1" s="39" t="s">
        <v>253</v>
      </c>
      <c r="E1" s="39" t="s">
        <v>254</v>
      </c>
      <c r="F1" s="40" t="s">
        <v>255</v>
      </c>
      <c r="G1" s="38" t="s">
        <v>26</v>
      </c>
      <c r="H1" s="39" t="s">
        <v>256</v>
      </c>
      <c r="I1" s="39" t="s">
        <v>257</v>
      </c>
      <c r="J1" s="39" t="s">
        <v>258</v>
      </c>
      <c r="K1" s="40" t="s">
        <v>259</v>
      </c>
      <c r="L1" s="38" t="s">
        <v>27</v>
      </c>
      <c r="M1" s="39" t="s">
        <v>260</v>
      </c>
      <c r="N1" s="39" t="s">
        <v>261</v>
      </c>
      <c r="O1" s="39" t="s">
        <v>262</v>
      </c>
      <c r="P1" s="40" t="s">
        <v>263</v>
      </c>
      <c r="Q1" s="33" t="s">
        <v>28</v>
      </c>
      <c r="R1" s="34" t="s">
        <v>264</v>
      </c>
      <c r="S1" s="34" t="s">
        <v>265</v>
      </c>
      <c r="T1" s="34" t="s">
        <v>266</v>
      </c>
      <c r="U1" s="34" t="s">
        <v>267</v>
      </c>
      <c r="V1" s="35" t="s">
        <v>29</v>
      </c>
      <c r="W1" s="36" t="s">
        <v>268</v>
      </c>
      <c r="X1" s="36" t="s">
        <v>269</v>
      </c>
      <c r="Y1" s="36" t="s">
        <v>270</v>
      </c>
      <c r="Z1" s="37" t="s">
        <v>271</v>
      </c>
      <c r="AA1" s="35" t="s">
        <v>48</v>
      </c>
      <c r="AB1" s="36" t="s">
        <v>304</v>
      </c>
      <c r="AC1" s="36" t="s">
        <v>305</v>
      </c>
      <c r="AD1" s="36" t="s">
        <v>306</v>
      </c>
      <c r="AE1" s="37" t="s">
        <v>307</v>
      </c>
      <c r="AF1" s="35" t="s">
        <v>49</v>
      </c>
      <c r="AG1" s="36" t="s">
        <v>308</v>
      </c>
      <c r="AH1" s="36" t="s">
        <v>309</v>
      </c>
      <c r="AI1" s="36" t="s">
        <v>310</v>
      </c>
      <c r="AJ1" s="37" t="s">
        <v>311</v>
      </c>
      <c r="AK1" s="35" t="s">
        <v>50</v>
      </c>
      <c r="AL1" s="36" t="s">
        <v>312</v>
      </c>
      <c r="AM1" s="36" t="s">
        <v>313</v>
      </c>
      <c r="AN1" s="36" t="s">
        <v>314</v>
      </c>
      <c r="AO1" s="37" t="s">
        <v>337</v>
      </c>
      <c r="AP1" s="35" t="s">
        <v>51</v>
      </c>
      <c r="AQ1" s="36" t="s">
        <v>338</v>
      </c>
      <c r="AR1" s="36" t="s">
        <v>339</v>
      </c>
      <c r="AS1" s="36" t="s">
        <v>340</v>
      </c>
      <c r="AT1" s="37" t="s">
        <v>341</v>
      </c>
      <c r="AU1" s="131" t="s">
        <v>52</v>
      </c>
      <c r="AV1" s="8" t="s">
        <v>342</v>
      </c>
      <c r="AW1" s="8" t="s">
        <v>343</v>
      </c>
      <c r="AX1" s="8" t="s">
        <v>344</v>
      </c>
      <c r="AY1" s="8" t="s">
        <v>345</v>
      </c>
    </row>
    <row r="2" spans="1:51" ht="123.75" customHeight="1" x14ac:dyDescent="0.3">
      <c r="A2" s="132" t="s">
        <v>18</v>
      </c>
      <c r="B2" s="133" t="s">
        <v>43</v>
      </c>
      <c r="C2" s="134"/>
      <c r="D2" s="134"/>
      <c r="E2" s="134"/>
      <c r="F2" s="132"/>
      <c r="G2" s="133" t="s">
        <v>44</v>
      </c>
      <c r="H2" s="134"/>
      <c r="I2" s="134"/>
      <c r="J2" s="134"/>
      <c r="K2" s="132"/>
      <c r="L2" s="133" t="s">
        <v>46</v>
      </c>
      <c r="M2" s="134"/>
      <c r="N2" s="134"/>
      <c r="O2" s="134"/>
      <c r="P2" s="132"/>
      <c r="Q2" s="135" t="s">
        <v>40</v>
      </c>
      <c r="R2" s="135"/>
      <c r="S2" s="135"/>
      <c r="T2" s="135"/>
      <c r="U2" s="135"/>
      <c r="V2" s="133" t="s">
        <v>45</v>
      </c>
      <c r="W2" s="134"/>
      <c r="X2" s="134"/>
      <c r="Y2" s="134"/>
      <c r="Z2" s="132"/>
      <c r="AA2" s="135" t="s">
        <v>41</v>
      </c>
      <c r="AB2" s="135"/>
      <c r="AC2" s="135"/>
      <c r="AD2" s="135"/>
      <c r="AE2" s="135"/>
      <c r="AF2" s="133" t="s">
        <v>37</v>
      </c>
      <c r="AG2" s="134"/>
      <c r="AH2" s="134"/>
      <c r="AI2" s="134"/>
      <c r="AJ2" s="132"/>
      <c r="AK2" s="135" t="s">
        <v>42</v>
      </c>
      <c r="AL2" s="135"/>
      <c r="AM2" s="135"/>
      <c r="AN2" s="135"/>
      <c r="AO2" s="133"/>
      <c r="AP2" s="135" t="s">
        <v>38</v>
      </c>
      <c r="AQ2" s="135"/>
      <c r="AR2" s="135"/>
      <c r="AS2" s="135"/>
      <c r="AT2" s="135"/>
      <c r="AU2" s="135" t="s">
        <v>47</v>
      </c>
      <c r="AV2" s="135"/>
      <c r="AW2" s="135"/>
      <c r="AX2" s="135"/>
      <c r="AY2" s="135"/>
    </row>
    <row r="3" spans="1:51" ht="15" customHeight="1" x14ac:dyDescent="0.3">
      <c r="A3" s="132"/>
      <c r="B3" s="92" t="s">
        <v>19</v>
      </c>
      <c r="C3" s="94" t="s">
        <v>20</v>
      </c>
      <c r="D3" s="94" t="s">
        <v>21</v>
      </c>
      <c r="E3" s="94" t="s">
        <v>22</v>
      </c>
      <c r="F3" s="94" t="s">
        <v>23</v>
      </c>
      <c r="G3" s="92" t="s">
        <v>19</v>
      </c>
      <c r="H3" s="94" t="s">
        <v>20</v>
      </c>
      <c r="I3" s="94" t="s">
        <v>21</v>
      </c>
      <c r="J3" s="94" t="s">
        <v>22</v>
      </c>
      <c r="K3" s="94" t="s">
        <v>23</v>
      </c>
      <c r="L3" s="92" t="s">
        <v>19</v>
      </c>
      <c r="M3" s="94" t="s">
        <v>20</v>
      </c>
      <c r="N3" s="94" t="s">
        <v>21</v>
      </c>
      <c r="O3" s="94" t="s">
        <v>22</v>
      </c>
      <c r="P3" s="94" t="s">
        <v>23</v>
      </c>
      <c r="Q3" s="92" t="s">
        <v>19</v>
      </c>
      <c r="R3" s="94" t="s">
        <v>20</v>
      </c>
      <c r="S3" s="94" t="s">
        <v>21</v>
      </c>
      <c r="T3" s="94" t="s">
        <v>22</v>
      </c>
      <c r="U3" s="94" t="s">
        <v>23</v>
      </c>
      <c r="V3" s="92" t="s">
        <v>19</v>
      </c>
      <c r="W3" s="94" t="s">
        <v>20</v>
      </c>
      <c r="X3" s="94" t="s">
        <v>21</v>
      </c>
      <c r="Y3" s="94" t="s">
        <v>22</v>
      </c>
      <c r="Z3" s="94" t="s">
        <v>23</v>
      </c>
      <c r="AA3" s="92" t="s">
        <v>19</v>
      </c>
      <c r="AB3" s="94" t="s">
        <v>20</v>
      </c>
      <c r="AC3" s="94" t="s">
        <v>21</v>
      </c>
      <c r="AD3" s="94" t="s">
        <v>22</v>
      </c>
      <c r="AE3" s="94" t="s">
        <v>23</v>
      </c>
      <c r="AF3" s="93" t="s">
        <v>19</v>
      </c>
      <c r="AG3" s="93" t="s">
        <v>20</v>
      </c>
      <c r="AH3" s="93" t="s">
        <v>21</v>
      </c>
      <c r="AI3" s="93" t="s">
        <v>22</v>
      </c>
      <c r="AJ3" s="93" t="s">
        <v>23</v>
      </c>
      <c r="AK3" s="92" t="s">
        <v>19</v>
      </c>
      <c r="AL3" s="94" t="s">
        <v>20</v>
      </c>
      <c r="AM3" s="94" t="s">
        <v>21</v>
      </c>
      <c r="AN3" s="94" t="s">
        <v>22</v>
      </c>
      <c r="AO3" s="136" t="s">
        <v>23</v>
      </c>
      <c r="AP3" s="135" t="s">
        <v>19</v>
      </c>
      <c r="AQ3" s="135" t="s">
        <v>20</v>
      </c>
      <c r="AR3" s="135" t="s">
        <v>21</v>
      </c>
      <c r="AS3" s="135" t="s">
        <v>22</v>
      </c>
      <c r="AT3" s="135" t="s">
        <v>23</v>
      </c>
      <c r="AU3" s="135" t="s">
        <v>19</v>
      </c>
      <c r="AV3" s="135" t="s">
        <v>20</v>
      </c>
      <c r="AW3" s="135" t="s">
        <v>21</v>
      </c>
      <c r="AX3" s="135" t="s">
        <v>22</v>
      </c>
      <c r="AY3" s="135" t="s">
        <v>23</v>
      </c>
    </row>
    <row r="4" spans="1:51" s="1" customFormat="1" x14ac:dyDescent="0.3">
      <c r="A4" s="132"/>
      <c r="B4" s="137">
        <v>2015</v>
      </c>
      <c r="C4" s="137">
        <v>2015</v>
      </c>
      <c r="D4" s="137">
        <v>2015</v>
      </c>
      <c r="E4" s="137">
        <v>2015</v>
      </c>
      <c r="F4" s="137">
        <v>2015</v>
      </c>
      <c r="G4" s="137">
        <v>2016</v>
      </c>
      <c r="H4" s="137">
        <v>2016</v>
      </c>
      <c r="I4" s="137">
        <v>2016</v>
      </c>
      <c r="J4" s="137">
        <v>2016</v>
      </c>
      <c r="K4" s="137">
        <v>2016</v>
      </c>
      <c r="L4" s="137">
        <v>2016</v>
      </c>
      <c r="M4" s="137">
        <v>2016</v>
      </c>
      <c r="N4" s="137">
        <v>2016</v>
      </c>
      <c r="O4" s="137">
        <v>2016</v>
      </c>
      <c r="P4" s="137">
        <v>2016</v>
      </c>
      <c r="Q4" s="138" t="s">
        <v>0</v>
      </c>
      <c r="R4" s="98" t="s">
        <v>0</v>
      </c>
      <c r="S4" s="98" t="s">
        <v>0</v>
      </c>
      <c r="T4" s="98" t="s">
        <v>0</v>
      </c>
      <c r="U4" s="98" t="s">
        <v>0</v>
      </c>
      <c r="V4" s="138" t="s">
        <v>0</v>
      </c>
      <c r="W4" s="98" t="s">
        <v>0</v>
      </c>
      <c r="X4" s="98" t="s">
        <v>0</v>
      </c>
      <c r="Y4" s="98" t="s">
        <v>0</v>
      </c>
      <c r="Z4" s="98" t="s">
        <v>0</v>
      </c>
      <c r="AA4" s="98">
        <v>2018</v>
      </c>
      <c r="AB4" s="98">
        <v>2018</v>
      </c>
      <c r="AC4" s="98">
        <v>2018</v>
      </c>
      <c r="AD4" s="98">
        <v>2018</v>
      </c>
      <c r="AE4" s="98">
        <v>2018</v>
      </c>
      <c r="AF4" s="98">
        <v>2018</v>
      </c>
      <c r="AG4" s="98">
        <v>2018</v>
      </c>
      <c r="AH4" s="98">
        <v>2018</v>
      </c>
      <c r="AI4" s="98">
        <v>2018</v>
      </c>
      <c r="AJ4" s="98">
        <v>2018</v>
      </c>
      <c r="AK4" s="98" t="s">
        <v>30</v>
      </c>
      <c r="AL4" s="98" t="s">
        <v>30</v>
      </c>
      <c r="AM4" s="98" t="s">
        <v>30</v>
      </c>
      <c r="AN4" s="98" t="s">
        <v>30</v>
      </c>
      <c r="AO4" s="99" t="s">
        <v>30</v>
      </c>
      <c r="AP4" s="137">
        <v>2019</v>
      </c>
      <c r="AQ4" s="137">
        <v>2019</v>
      </c>
      <c r="AR4" s="137">
        <v>2019</v>
      </c>
      <c r="AS4" s="137">
        <v>2019</v>
      </c>
      <c r="AT4" s="137">
        <v>2019</v>
      </c>
      <c r="AU4" s="137">
        <v>2020</v>
      </c>
      <c r="AV4" s="137">
        <v>2020</v>
      </c>
      <c r="AW4" s="137">
        <v>2020</v>
      </c>
      <c r="AX4" s="137">
        <v>2020</v>
      </c>
      <c r="AY4" s="137">
        <v>2020</v>
      </c>
    </row>
    <row r="5" spans="1:51" x14ac:dyDescent="0.3">
      <c r="A5" s="139" t="s">
        <v>1</v>
      </c>
      <c r="B5" s="45">
        <v>4184409</v>
      </c>
      <c r="C5" s="45">
        <v>4003599</v>
      </c>
      <c r="D5" s="45">
        <v>147124</v>
      </c>
      <c r="E5" s="45">
        <v>29243</v>
      </c>
      <c r="F5" s="45">
        <v>4443</v>
      </c>
      <c r="G5" s="45">
        <v>4237691</v>
      </c>
      <c r="H5" s="45">
        <v>4055946</v>
      </c>
      <c r="I5" s="45">
        <v>148002</v>
      </c>
      <c r="J5" s="45">
        <v>29280</v>
      </c>
      <c r="K5" s="45">
        <v>4463</v>
      </c>
      <c r="L5" s="140">
        <f>G5/B5</f>
        <v>1.012733458894673</v>
      </c>
      <c r="M5" s="140">
        <f>H5/C5</f>
        <v>1.0130749857815431</v>
      </c>
      <c r="N5" s="140">
        <f>I5/D5</f>
        <v>1.0059677550909436</v>
      </c>
      <c r="O5" s="140">
        <f>J5/E5</f>
        <v>1.0012652600622372</v>
      </c>
      <c r="P5" s="140">
        <f>K5/F5</f>
        <v>1.0045014629754669</v>
      </c>
      <c r="Q5" s="45">
        <v>4309800</v>
      </c>
      <c r="R5" s="45">
        <v>4128611</v>
      </c>
      <c r="S5" s="45">
        <v>147607</v>
      </c>
      <c r="T5" s="45">
        <v>29154</v>
      </c>
      <c r="U5" s="45">
        <v>4428</v>
      </c>
      <c r="V5" s="140">
        <f>Q5/G5</f>
        <v>1.0170161061766891</v>
      </c>
      <c r="W5" s="140">
        <f>R5/H5</f>
        <v>1.0179156724473155</v>
      </c>
      <c r="X5" s="140">
        <f>S5/I5</f>
        <v>0.99733111714706557</v>
      </c>
      <c r="Y5" s="140">
        <f>T5/J5</f>
        <v>0.99569672131147546</v>
      </c>
      <c r="Z5" s="140">
        <f>U5/K5</f>
        <v>0.99215774142953173</v>
      </c>
      <c r="AA5" s="45">
        <v>4365375</v>
      </c>
      <c r="AB5" s="45">
        <v>4192778</v>
      </c>
      <c r="AC5" s="45">
        <v>139995</v>
      </c>
      <c r="AD5" s="45">
        <v>28267</v>
      </c>
      <c r="AE5" s="45">
        <v>4335</v>
      </c>
      <c r="AF5" s="140">
        <f>AA5/Q5</f>
        <v>1.0128950299317834</v>
      </c>
      <c r="AG5" s="140">
        <f>AB5/R5</f>
        <v>1.0155420309639247</v>
      </c>
      <c r="AH5" s="140">
        <f>AC5/S5</f>
        <v>0.94843062998367289</v>
      </c>
      <c r="AI5" s="140">
        <f>AD5/T5</f>
        <v>0.96957535844138021</v>
      </c>
      <c r="AJ5" s="140">
        <f>AE5/U5</f>
        <v>0.9789972899728997</v>
      </c>
      <c r="AK5" s="45">
        <v>4505001</v>
      </c>
      <c r="AL5" s="45">
        <v>4334687</v>
      </c>
      <c r="AM5" s="45">
        <v>138071</v>
      </c>
      <c r="AN5" s="45">
        <v>27932</v>
      </c>
      <c r="AO5" s="47">
        <v>4311</v>
      </c>
      <c r="AP5" s="140">
        <f>AK5/AA5</f>
        <v>1.0319848810239669</v>
      </c>
      <c r="AQ5" s="140">
        <f>AL5/AB5</f>
        <v>1.0338460562424245</v>
      </c>
      <c r="AR5" s="140">
        <f>AM5/AC5</f>
        <v>0.9862566520232865</v>
      </c>
      <c r="AS5" s="140">
        <f>AN5/AD5</f>
        <v>0.9881487246612658</v>
      </c>
      <c r="AT5" s="140">
        <f>AO5/AE5</f>
        <v>0.99446366782006923</v>
      </c>
      <c r="AU5" s="140">
        <f>AVERAGE(AP5,AF5,V5,L5)</f>
        <v>1.0186573690067782</v>
      </c>
      <c r="AV5" s="140">
        <f>AVERAGE(AQ5,AG5,W5,M5)</f>
        <v>1.0200946863588021</v>
      </c>
      <c r="AW5" s="140">
        <f>AVERAGE(AR5,AH5,X5,N5)</f>
        <v>0.98449653856124208</v>
      </c>
      <c r="AX5" s="140">
        <f>AVERAGE(AS5,AI5,Y5,O5)</f>
        <v>0.98867151611908966</v>
      </c>
      <c r="AY5" s="140">
        <f>AVERAGE(AT5,AJ5,Z5,P5)</f>
        <v>0.9925300405494919</v>
      </c>
    </row>
    <row r="6" spans="1:51" x14ac:dyDescent="0.3">
      <c r="A6" s="139" t="s">
        <v>2</v>
      </c>
      <c r="B6" s="45">
        <v>357102</v>
      </c>
      <c r="C6" s="45">
        <v>344313</v>
      </c>
      <c r="D6" s="45">
        <v>10317</v>
      </c>
      <c r="E6" s="45">
        <v>2112</v>
      </c>
      <c r="F6" s="45">
        <v>360</v>
      </c>
      <c r="G6" s="45">
        <v>361307</v>
      </c>
      <c r="H6" s="45">
        <v>348517</v>
      </c>
      <c r="I6" s="45">
        <v>10318</v>
      </c>
      <c r="J6" s="45">
        <v>2111</v>
      </c>
      <c r="K6" s="45">
        <v>361</v>
      </c>
      <c r="L6" s="140">
        <f t="shared" ref="L6:L21" si="0">G6/B6</f>
        <v>1.0117753470997082</v>
      </c>
      <c r="M6" s="140">
        <f t="shared" ref="M6:M21" si="1">H6/C6</f>
        <v>1.0122098207154537</v>
      </c>
      <c r="N6" s="140">
        <f t="shared" ref="N6:N20" si="2">I6/D6</f>
        <v>1.0000969274013765</v>
      </c>
      <c r="O6" s="140">
        <f t="shared" ref="O6:O20" si="3">J6/E6</f>
        <v>0.99952651515151514</v>
      </c>
      <c r="P6" s="140">
        <f t="shared" ref="P6:P20" si="4">K6/F6</f>
        <v>1.0027777777777778</v>
      </c>
      <c r="Q6" s="45">
        <v>368811</v>
      </c>
      <c r="R6" s="45">
        <v>356120</v>
      </c>
      <c r="S6" s="45">
        <v>10208</v>
      </c>
      <c r="T6" s="45">
        <v>2118</v>
      </c>
      <c r="U6" s="45">
        <v>365</v>
      </c>
      <c r="V6" s="140">
        <f t="shared" ref="V6:V21" si="5">Q6/G6</f>
        <v>1.0207690412862191</v>
      </c>
      <c r="W6" s="140">
        <f t="shared" ref="W6:W21" si="6">R6/H6</f>
        <v>1.0218152916500487</v>
      </c>
      <c r="X6" s="140">
        <f t="shared" ref="X6:X21" si="7">S6/I6</f>
        <v>0.98933901918976541</v>
      </c>
      <c r="Y6" s="140">
        <f t="shared" ref="Y6:Y21" si="8">T6/J6</f>
        <v>1.0033159639981051</v>
      </c>
      <c r="Z6" s="140">
        <f t="shared" ref="Z6:Z21" si="9">U6/K6</f>
        <v>1.0110803324099722</v>
      </c>
      <c r="AA6" s="45">
        <v>375294</v>
      </c>
      <c r="AB6" s="45">
        <v>362798</v>
      </c>
      <c r="AC6" s="45">
        <v>10038</v>
      </c>
      <c r="AD6" s="45">
        <v>2101</v>
      </c>
      <c r="AE6" s="45">
        <v>357</v>
      </c>
      <c r="AF6" s="140">
        <f t="shared" ref="AF6:AF21" si="10">AA6/Q6</f>
        <v>1.0175781091127976</v>
      </c>
      <c r="AG6" s="140">
        <f t="shared" ref="AG6:AG21" si="11">AB6/R6</f>
        <v>1.0187521060316747</v>
      </c>
      <c r="AH6" s="140">
        <f t="shared" ref="AH6:AH21" si="12">AC6/S6</f>
        <v>0.98334639498432597</v>
      </c>
      <c r="AI6" s="140">
        <f t="shared" ref="AI6:AI21" si="13">AD6/T6</f>
        <v>0.99197355996222847</v>
      </c>
      <c r="AJ6" s="140">
        <f t="shared" ref="AJ6:AJ21" si="14">AE6/U6</f>
        <v>0.9780821917808219</v>
      </c>
      <c r="AK6" s="45">
        <v>387563</v>
      </c>
      <c r="AL6" s="45">
        <v>375308</v>
      </c>
      <c r="AM6" s="45">
        <v>9831</v>
      </c>
      <c r="AN6" s="45">
        <v>2068</v>
      </c>
      <c r="AO6" s="47">
        <v>356</v>
      </c>
      <c r="AP6" s="140">
        <f t="shared" ref="AP6:AP21" si="15">AK6/AA6</f>
        <v>1.0326917030381515</v>
      </c>
      <c r="AQ6" s="140">
        <f t="shared" ref="AQ6:AQ21" si="16">AL6/AB6</f>
        <v>1.0344819982469584</v>
      </c>
      <c r="AR6" s="140">
        <f t="shared" ref="AR6:AR21" si="17">AM6/AC6</f>
        <v>0.97937836222355046</v>
      </c>
      <c r="AS6" s="140">
        <f t="shared" ref="AS6:AS20" si="18">AN6/AD6</f>
        <v>0.98429319371727753</v>
      </c>
      <c r="AT6" s="140">
        <f t="shared" ref="AT6:AT21" si="19">AO6/AE6</f>
        <v>0.99719887955182074</v>
      </c>
      <c r="AU6" s="140">
        <f t="shared" ref="AU6:AU21" si="20">AVERAGE(AP6,AF6,V6,L6)</f>
        <v>1.0207035501342192</v>
      </c>
      <c r="AV6" s="140">
        <f t="shared" ref="AV6:AV21" si="21">AVERAGE(AQ6,AG6,W6,M6)</f>
        <v>1.0218148041610338</v>
      </c>
      <c r="AW6" s="140">
        <f t="shared" ref="AW6:AW21" si="22">AVERAGE(AR6,AH6,X6,N6)</f>
        <v>0.98804017594975457</v>
      </c>
      <c r="AX6" s="140">
        <f t="shared" ref="AX6:AX21" si="23">AVERAGE(AS6,AI6,Y6,O6)</f>
        <v>0.99477730820728161</v>
      </c>
      <c r="AY6" s="140">
        <f t="shared" ref="AY6:AY21" si="24">AVERAGE(AT6,AJ6,Z6,P6)</f>
        <v>0.99728479538009818</v>
      </c>
    </row>
    <row r="7" spans="1:51" x14ac:dyDescent="0.3">
      <c r="A7" s="139" t="s">
        <v>3</v>
      </c>
      <c r="B7" s="45">
        <v>193470</v>
      </c>
      <c r="C7" s="45">
        <v>184709</v>
      </c>
      <c r="D7" s="45">
        <v>6988</v>
      </c>
      <c r="E7" s="45">
        <v>1558</v>
      </c>
      <c r="F7" s="45">
        <v>215</v>
      </c>
      <c r="G7" s="45">
        <v>194099</v>
      </c>
      <c r="H7" s="45">
        <v>185323</v>
      </c>
      <c r="I7" s="45">
        <v>7001</v>
      </c>
      <c r="J7" s="45">
        <v>1554</v>
      </c>
      <c r="K7" s="45">
        <v>221</v>
      </c>
      <c r="L7" s="140">
        <f t="shared" si="0"/>
        <v>1.0032511500491033</v>
      </c>
      <c r="M7" s="140">
        <f t="shared" si="1"/>
        <v>1.0033241477134303</v>
      </c>
      <c r="N7" s="140">
        <f t="shared" si="2"/>
        <v>1.0018603319977104</v>
      </c>
      <c r="O7" s="140">
        <f t="shared" si="3"/>
        <v>0.99743260590500638</v>
      </c>
      <c r="P7" s="140">
        <f t="shared" si="4"/>
        <v>1.027906976744186</v>
      </c>
      <c r="Q7" s="45">
        <v>195717</v>
      </c>
      <c r="R7" s="45">
        <v>186964</v>
      </c>
      <c r="S7" s="45">
        <v>6995</v>
      </c>
      <c r="T7" s="45">
        <v>1537</v>
      </c>
      <c r="U7" s="45">
        <v>221</v>
      </c>
      <c r="V7" s="140">
        <f t="shared" si="5"/>
        <v>1.0083359522717787</v>
      </c>
      <c r="W7" s="140">
        <f t="shared" si="6"/>
        <v>1.0088548102502117</v>
      </c>
      <c r="X7" s="140">
        <f t="shared" si="7"/>
        <v>0.9991429795743465</v>
      </c>
      <c r="Y7" s="140">
        <f t="shared" si="8"/>
        <v>0.98906048906048905</v>
      </c>
      <c r="Z7" s="140">
        <f t="shared" si="9"/>
        <v>1</v>
      </c>
      <c r="AA7" s="45">
        <v>197657</v>
      </c>
      <c r="AB7" s="45">
        <v>189096</v>
      </c>
      <c r="AC7" s="45">
        <v>6841</v>
      </c>
      <c r="AD7" s="45">
        <v>1503</v>
      </c>
      <c r="AE7" s="45">
        <v>217</v>
      </c>
      <c r="AF7" s="140">
        <f t="shared" si="10"/>
        <v>1.0099122712896682</v>
      </c>
      <c r="AG7" s="140">
        <f t="shared" si="11"/>
        <v>1.0114032647996405</v>
      </c>
      <c r="AH7" s="140">
        <f t="shared" si="12"/>
        <v>0.97798427448177272</v>
      </c>
      <c r="AI7" s="140">
        <f t="shared" si="13"/>
        <v>0.97787898503578397</v>
      </c>
      <c r="AJ7" s="140">
        <f t="shared" si="14"/>
        <v>0.98190045248868774</v>
      </c>
      <c r="AK7" s="45">
        <v>203706</v>
      </c>
      <c r="AL7" s="45">
        <v>195266</v>
      </c>
      <c r="AM7" s="45">
        <v>6763</v>
      </c>
      <c r="AN7" s="45">
        <v>1464</v>
      </c>
      <c r="AO7" s="47">
        <v>213</v>
      </c>
      <c r="AP7" s="140">
        <f t="shared" si="15"/>
        <v>1.0306035202396069</v>
      </c>
      <c r="AQ7" s="140">
        <f t="shared" si="16"/>
        <v>1.0326289292211364</v>
      </c>
      <c r="AR7" s="140">
        <f t="shared" si="17"/>
        <v>0.98859815816401109</v>
      </c>
      <c r="AS7" s="140">
        <f t="shared" si="18"/>
        <v>0.97405189620758481</v>
      </c>
      <c r="AT7" s="140">
        <f t="shared" si="19"/>
        <v>0.98156682027649766</v>
      </c>
      <c r="AU7" s="140">
        <f t="shared" si="20"/>
        <v>1.0130257234625393</v>
      </c>
      <c r="AV7" s="140">
        <f t="shared" si="21"/>
        <v>1.0140527879961048</v>
      </c>
      <c r="AW7" s="140">
        <f t="shared" si="22"/>
        <v>0.99189643605446021</v>
      </c>
      <c r="AX7" s="140">
        <f t="shared" si="23"/>
        <v>0.98460599405221616</v>
      </c>
      <c r="AY7" s="140">
        <f t="shared" si="24"/>
        <v>0.99784356237734273</v>
      </c>
    </row>
    <row r="8" spans="1:51" x14ac:dyDescent="0.3">
      <c r="A8" s="139" t="s">
        <v>4</v>
      </c>
      <c r="B8" s="45">
        <v>173184</v>
      </c>
      <c r="C8" s="45">
        <v>166102</v>
      </c>
      <c r="D8" s="45">
        <v>5724</v>
      </c>
      <c r="E8" s="45">
        <v>1223</v>
      </c>
      <c r="F8" s="45">
        <v>135</v>
      </c>
      <c r="G8" s="45">
        <v>174123</v>
      </c>
      <c r="H8" s="45">
        <v>167016</v>
      </c>
      <c r="I8" s="45">
        <v>5743</v>
      </c>
      <c r="J8" s="45">
        <v>1230</v>
      </c>
      <c r="K8" s="45">
        <v>134</v>
      </c>
      <c r="L8" s="140">
        <f t="shared" si="0"/>
        <v>1.0054219789356984</v>
      </c>
      <c r="M8" s="140">
        <f t="shared" si="1"/>
        <v>1.0055026429543292</v>
      </c>
      <c r="N8" s="140">
        <f t="shared" si="2"/>
        <v>1.003319357092942</v>
      </c>
      <c r="O8" s="140">
        <f t="shared" si="3"/>
        <v>1.0057236304170074</v>
      </c>
      <c r="P8" s="140">
        <f t="shared" si="4"/>
        <v>0.99259259259259258</v>
      </c>
      <c r="Q8" s="45">
        <v>177365</v>
      </c>
      <c r="R8" s="45">
        <v>170316</v>
      </c>
      <c r="S8" s="45">
        <v>5712</v>
      </c>
      <c r="T8" s="45">
        <v>1204</v>
      </c>
      <c r="U8" s="45">
        <v>133</v>
      </c>
      <c r="V8" s="140">
        <f t="shared" si="5"/>
        <v>1.0186190221854665</v>
      </c>
      <c r="W8" s="140">
        <f t="shared" si="6"/>
        <v>1.0197585860037361</v>
      </c>
      <c r="X8" s="140">
        <f t="shared" si="7"/>
        <v>0.99460212432526551</v>
      </c>
      <c r="Y8" s="140">
        <f t="shared" si="8"/>
        <v>0.9788617886178862</v>
      </c>
      <c r="Z8" s="140">
        <f t="shared" si="9"/>
        <v>0.9925373134328358</v>
      </c>
      <c r="AA8" s="45">
        <v>180805</v>
      </c>
      <c r="AB8" s="45">
        <v>173871</v>
      </c>
      <c r="AC8" s="45">
        <v>5615</v>
      </c>
      <c r="AD8" s="45">
        <v>1190</v>
      </c>
      <c r="AE8" s="45">
        <v>129</v>
      </c>
      <c r="AF8" s="140">
        <f t="shared" si="10"/>
        <v>1.0193950328418797</v>
      </c>
      <c r="AG8" s="140">
        <f t="shared" si="11"/>
        <v>1.0208729655463962</v>
      </c>
      <c r="AH8" s="140">
        <f t="shared" si="12"/>
        <v>0.98301820728291311</v>
      </c>
      <c r="AI8" s="140">
        <f t="shared" si="13"/>
        <v>0.98837209302325579</v>
      </c>
      <c r="AJ8" s="140">
        <f t="shared" si="14"/>
        <v>0.96992481203007519</v>
      </c>
      <c r="AK8" s="45">
        <v>185686</v>
      </c>
      <c r="AL8" s="45">
        <v>178944</v>
      </c>
      <c r="AM8" s="45">
        <v>5451</v>
      </c>
      <c r="AN8" s="45">
        <v>1163</v>
      </c>
      <c r="AO8" s="47">
        <v>128</v>
      </c>
      <c r="AP8" s="140">
        <f t="shared" si="15"/>
        <v>1.0269959348469346</v>
      </c>
      <c r="AQ8" s="140">
        <f t="shared" si="16"/>
        <v>1.0291768034922442</v>
      </c>
      <c r="AR8" s="140">
        <f t="shared" si="17"/>
        <v>0.97079252003561889</v>
      </c>
      <c r="AS8" s="140">
        <f t="shared" si="18"/>
        <v>0.97731092436974787</v>
      </c>
      <c r="AT8" s="140">
        <f t="shared" si="19"/>
        <v>0.99224806201550386</v>
      </c>
      <c r="AU8" s="140">
        <f t="shared" si="20"/>
        <v>1.0176079922024948</v>
      </c>
      <c r="AV8" s="140">
        <f t="shared" si="21"/>
        <v>1.0188277494991764</v>
      </c>
      <c r="AW8" s="140">
        <f t="shared" si="22"/>
        <v>0.98793305218418492</v>
      </c>
      <c r="AX8" s="140">
        <f t="shared" si="23"/>
        <v>0.98756710910697443</v>
      </c>
      <c r="AY8" s="140">
        <f t="shared" si="24"/>
        <v>0.98682569501775186</v>
      </c>
    </row>
    <row r="9" spans="1:51" x14ac:dyDescent="0.3">
      <c r="A9" s="139" t="s">
        <v>5</v>
      </c>
      <c r="B9" s="45">
        <v>111272</v>
      </c>
      <c r="C9" s="45">
        <v>106594</v>
      </c>
      <c r="D9" s="45">
        <v>3848</v>
      </c>
      <c r="E9" s="45">
        <v>739</v>
      </c>
      <c r="F9" s="45">
        <v>91</v>
      </c>
      <c r="G9" s="45">
        <v>111756</v>
      </c>
      <c r="H9" s="45">
        <v>107032</v>
      </c>
      <c r="I9" s="45">
        <v>3882</v>
      </c>
      <c r="J9" s="45">
        <v>752</v>
      </c>
      <c r="K9" s="45">
        <v>90</v>
      </c>
      <c r="L9" s="140">
        <f t="shared" si="0"/>
        <v>1.0043497016320369</v>
      </c>
      <c r="M9" s="140">
        <f t="shared" si="1"/>
        <v>1.0041090492898288</v>
      </c>
      <c r="N9" s="140">
        <f t="shared" si="2"/>
        <v>1.0088357588357588</v>
      </c>
      <c r="O9" s="140">
        <f t="shared" si="3"/>
        <v>1.0175913396481733</v>
      </c>
      <c r="P9" s="140">
        <f t="shared" si="4"/>
        <v>0.98901098901098905</v>
      </c>
      <c r="Q9" s="45">
        <v>112910</v>
      </c>
      <c r="R9" s="45">
        <v>108290</v>
      </c>
      <c r="S9" s="45">
        <v>3808</v>
      </c>
      <c r="T9" s="45">
        <v>725</v>
      </c>
      <c r="U9" s="45">
        <v>87</v>
      </c>
      <c r="V9" s="140">
        <f t="shared" si="5"/>
        <v>1.0103260675042056</v>
      </c>
      <c r="W9" s="140">
        <f t="shared" si="6"/>
        <v>1.0117534942820838</v>
      </c>
      <c r="X9" s="140">
        <f t="shared" si="7"/>
        <v>0.98093766099948476</v>
      </c>
      <c r="Y9" s="140">
        <f t="shared" si="8"/>
        <v>0.96409574468085102</v>
      </c>
      <c r="Z9" s="140">
        <f t="shared" si="9"/>
        <v>0.96666666666666667</v>
      </c>
      <c r="AA9" s="45">
        <v>113277</v>
      </c>
      <c r="AB9" s="45">
        <v>108897</v>
      </c>
      <c r="AC9" s="45">
        <v>3562</v>
      </c>
      <c r="AD9" s="45">
        <v>731</v>
      </c>
      <c r="AE9" s="45">
        <v>87</v>
      </c>
      <c r="AF9" s="140">
        <f t="shared" si="10"/>
        <v>1.003250376405987</v>
      </c>
      <c r="AG9" s="140">
        <f t="shared" si="11"/>
        <v>1.0056053190506973</v>
      </c>
      <c r="AH9" s="140">
        <f t="shared" si="12"/>
        <v>0.93539915966386555</v>
      </c>
      <c r="AI9" s="140">
        <f t="shared" si="13"/>
        <v>1.0082758620689656</v>
      </c>
      <c r="AJ9" s="140">
        <f t="shared" si="14"/>
        <v>1</v>
      </c>
      <c r="AK9" s="45">
        <v>117021</v>
      </c>
      <c r="AL9" s="45">
        <v>112700</v>
      </c>
      <c r="AM9" s="45">
        <v>3508</v>
      </c>
      <c r="AN9" s="45">
        <v>726</v>
      </c>
      <c r="AO9" s="47">
        <v>87</v>
      </c>
      <c r="AP9" s="140">
        <f t="shared" si="15"/>
        <v>1.0330517227680818</v>
      </c>
      <c r="AQ9" s="140">
        <f t="shared" si="16"/>
        <v>1.0349229088037319</v>
      </c>
      <c r="AR9" s="140">
        <f t="shared" si="17"/>
        <v>0.98483997754070751</v>
      </c>
      <c r="AS9" s="140">
        <f t="shared" si="18"/>
        <v>0.99316005471956226</v>
      </c>
      <c r="AT9" s="140">
        <f t="shared" si="19"/>
        <v>1</v>
      </c>
      <c r="AU9" s="140">
        <f t="shared" si="20"/>
        <v>1.012744467077578</v>
      </c>
      <c r="AV9" s="140">
        <f t="shared" si="21"/>
        <v>1.0140976928565855</v>
      </c>
      <c r="AW9" s="140">
        <f t="shared" si="22"/>
        <v>0.97750313925995425</v>
      </c>
      <c r="AX9" s="140">
        <f t="shared" si="23"/>
        <v>0.99578075027938806</v>
      </c>
      <c r="AY9" s="140">
        <f t="shared" si="24"/>
        <v>0.98891941391941396</v>
      </c>
    </row>
    <row r="10" spans="1:51" x14ac:dyDescent="0.3">
      <c r="A10" s="139" t="s">
        <v>6</v>
      </c>
      <c r="B10" s="45">
        <v>241462</v>
      </c>
      <c r="C10" s="45">
        <v>229813</v>
      </c>
      <c r="D10" s="45">
        <v>9609</v>
      </c>
      <c r="E10" s="45">
        <v>1786</v>
      </c>
      <c r="F10" s="45">
        <v>254</v>
      </c>
      <c r="G10" s="45">
        <v>243280</v>
      </c>
      <c r="H10" s="45">
        <v>231628</v>
      </c>
      <c r="I10" s="45">
        <v>9619</v>
      </c>
      <c r="J10" s="45">
        <v>1781</v>
      </c>
      <c r="K10" s="45">
        <v>252</v>
      </c>
      <c r="L10" s="140">
        <f t="shared" si="0"/>
        <v>1.0075291350191748</v>
      </c>
      <c r="M10" s="140">
        <f t="shared" si="1"/>
        <v>1.0078977255420711</v>
      </c>
      <c r="N10" s="140">
        <f t="shared" si="2"/>
        <v>1.0010406910188365</v>
      </c>
      <c r="O10" s="140">
        <f t="shared" si="3"/>
        <v>0.99720044792833151</v>
      </c>
      <c r="P10" s="140">
        <f t="shared" si="4"/>
        <v>0.99212598425196852</v>
      </c>
      <c r="Q10" s="45">
        <v>245855</v>
      </c>
      <c r="R10" s="45">
        <v>234318</v>
      </c>
      <c r="S10" s="45">
        <v>9524</v>
      </c>
      <c r="T10" s="45">
        <v>1765</v>
      </c>
      <c r="U10" s="45">
        <v>248</v>
      </c>
      <c r="V10" s="140">
        <f t="shared" si="5"/>
        <v>1.0105845116737915</v>
      </c>
      <c r="W10" s="140">
        <f t="shared" si="6"/>
        <v>1.0116134491512252</v>
      </c>
      <c r="X10" s="140">
        <f t="shared" si="7"/>
        <v>0.99012371348373007</v>
      </c>
      <c r="Y10" s="140">
        <f t="shared" si="8"/>
        <v>0.99101628298708588</v>
      </c>
      <c r="Z10" s="140">
        <f t="shared" si="9"/>
        <v>0.98412698412698407</v>
      </c>
      <c r="AA10" s="45">
        <v>247502</v>
      </c>
      <c r="AB10" s="45">
        <v>236456</v>
      </c>
      <c r="AC10" s="45">
        <v>9097</v>
      </c>
      <c r="AD10" s="45">
        <v>1709</v>
      </c>
      <c r="AE10" s="45">
        <v>240</v>
      </c>
      <c r="AF10" s="140">
        <f t="shared" si="10"/>
        <v>1.0066990705903887</v>
      </c>
      <c r="AG10" s="140">
        <f t="shared" si="11"/>
        <v>1.0091243523758311</v>
      </c>
      <c r="AH10" s="140">
        <f t="shared" si="12"/>
        <v>0.95516589668206631</v>
      </c>
      <c r="AI10" s="140">
        <f t="shared" si="13"/>
        <v>0.968271954674221</v>
      </c>
      <c r="AJ10" s="140">
        <f t="shared" si="14"/>
        <v>0.967741935483871</v>
      </c>
      <c r="AK10" s="45">
        <v>254387</v>
      </c>
      <c r="AL10" s="45">
        <v>243545</v>
      </c>
      <c r="AM10" s="45">
        <v>8927</v>
      </c>
      <c r="AN10" s="45">
        <v>1676</v>
      </c>
      <c r="AO10" s="47">
        <v>239</v>
      </c>
      <c r="AP10" s="140">
        <f t="shared" si="15"/>
        <v>1.0278179570266099</v>
      </c>
      <c r="AQ10" s="140">
        <f t="shared" si="16"/>
        <v>1.0299802077342084</v>
      </c>
      <c r="AR10" s="140">
        <f t="shared" si="17"/>
        <v>0.98131252061119045</v>
      </c>
      <c r="AS10" s="140">
        <f t="shared" si="18"/>
        <v>0.98069046225863077</v>
      </c>
      <c r="AT10" s="140">
        <f t="shared" si="19"/>
        <v>0.99583333333333335</v>
      </c>
      <c r="AU10" s="140">
        <f t="shared" si="20"/>
        <v>1.0131576685774912</v>
      </c>
      <c r="AV10" s="140">
        <f t="shared" si="21"/>
        <v>1.014653933700834</v>
      </c>
      <c r="AW10" s="140">
        <f t="shared" si="22"/>
        <v>0.98191070544895587</v>
      </c>
      <c r="AX10" s="140">
        <f t="shared" si="23"/>
        <v>0.98429478696206729</v>
      </c>
      <c r="AY10" s="140">
        <f t="shared" si="24"/>
        <v>0.98495705929903921</v>
      </c>
    </row>
    <row r="11" spans="1:51" x14ac:dyDescent="0.3">
      <c r="A11" s="139" t="s">
        <v>7</v>
      </c>
      <c r="B11" s="45">
        <v>363883</v>
      </c>
      <c r="C11" s="45">
        <v>347983</v>
      </c>
      <c r="D11" s="45">
        <v>13171</v>
      </c>
      <c r="E11" s="45">
        <v>2383</v>
      </c>
      <c r="F11" s="45">
        <v>346</v>
      </c>
      <c r="G11" s="45">
        <v>371107</v>
      </c>
      <c r="H11" s="45">
        <v>355066</v>
      </c>
      <c r="I11" s="45">
        <v>13304</v>
      </c>
      <c r="J11" s="45">
        <v>2387</v>
      </c>
      <c r="K11" s="45">
        <v>350</v>
      </c>
      <c r="L11" s="140">
        <f t="shared" si="0"/>
        <v>1.019852535018124</v>
      </c>
      <c r="M11" s="140">
        <f t="shared" si="1"/>
        <v>1.0203544426020812</v>
      </c>
      <c r="N11" s="140">
        <f t="shared" si="2"/>
        <v>1.0100979424493204</v>
      </c>
      <c r="O11" s="140">
        <f t="shared" si="3"/>
        <v>1.0016785564414603</v>
      </c>
      <c r="P11" s="140">
        <f t="shared" si="4"/>
        <v>1.0115606936416186</v>
      </c>
      <c r="Q11" s="45">
        <v>380020</v>
      </c>
      <c r="R11" s="45">
        <v>364142</v>
      </c>
      <c r="S11" s="45">
        <v>13149</v>
      </c>
      <c r="T11" s="45">
        <v>2385</v>
      </c>
      <c r="U11" s="45">
        <v>344</v>
      </c>
      <c r="V11" s="140">
        <f t="shared" si="5"/>
        <v>1.0240173319285273</v>
      </c>
      <c r="W11" s="140">
        <f t="shared" si="6"/>
        <v>1.0255614449144665</v>
      </c>
      <c r="X11" s="140">
        <f t="shared" si="7"/>
        <v>0.98834936861094402</v>
      </c>
      <c r="Y11" s="140">
        <f t="shared" si="8"/>
        <v>0.99916212819438621</v>
      </c>
      <c r="Z11" s="140">
        <f t="shared" si="9"/>
        <v>0.98285714285714287</v>
      </c>
      <c r="AA11" s="45">
        <v>391539</v>
      </c>
      <c r="AB11" s="45">
        <v>376454</v>
      </c>
      <c r="AC11" s="45">
        <v>12449</v>
      </c>
      <c r="AD11" s="45">
        <v>2293</v>
      </c>
      <c r="AE11" s="45">
        <v>343</v>
      </c>
      <c r="AF11" s="140">
        <f t="shared" si="10"/>
        <v>1.0303115625493395</v>
      </c>
      <c r="AG11" s="140">
        <f t="shared" si="11"/>
        <v>1.0338109858242115</v>
      </c>
      <c r="AH11" s="140">
        <f t="shared" si="12"/>
        <v>0.94676401247243136</v>
      </c>
      <c r="AI11" s="140">
        <f t="shared" si="13"/>
        <v>0.96142557651991611</v>
      </c>
      <c r="AJ11" s="140">
        <f t="shared" si="14"/>
        <v>0.99709302325581395</v>
      </c>
      <c r="AK11" s="45">
        <v>406980</v>
      </c>
      <c r="AL11" s="45">
        <v>392142</v>
      </c>
      <c r="AM11" s="45">
        <v>12248</v>
      </c>
      <c r="AN11" s="45">
        <v>2252</v>
      </c>
      <c r="AO11" s="47">
        <v>338</v>
      </c>
      <c r="AP11" s="140">
        <f t="shared" si="15"/>
        <v>1.0394366844682139</v>
      </c>
      <c r="AQ11" s="140">
        <f t="shared" si="16"/>
        <v>1.0416730862203616</v>
      </c>
      <c r="AR11" s="140">
        <f t="shared" si="17"/>
        <v>0.98385412482930357</v>
      </c>
      <c r="AS11" s="140">
        <f t="shared" si="18"/>
        <v>0.98211949411251631</v>
      </c>
      <c r="AT11" s="140">
        <f t="shared" si="19"/>
        <v>0.98542274052478129</v>
      </c>
      <c r="AU11" s="140">
        <f t="shared" si="20"/>
        <v>1.0284045284910512</v>
      </c>
      <c r="AV11" s="140">
        <f t="shared" si="21"/>
        <v>1.0303499898902804</v>
      </c>
      <c r="AW11" s="140">
        <f t="shared" si="22"/>
        <v>0.98226636209049978</v>
      </c>
      <c r="AX11" s="140">
        <f t="shared" si="23"/>
        <v>0.98609643881706965</v>
      </c>
      <c r="AY11" s="140">
        <f t="shared" si="24"/>
        <v>0.99423340006983918</v>
      </c>
    </row>
    <row r="12" spans="1:51" x14ac:dyDescent="0.3">
      <c r="A12" s="139" t="s">
        <v>8</v>
      </c>
      <c r="B12" s="45">
        <v>766030</v>
      </c>
      <c r="C12" s="45">
        <v>734579</v>
      </c>
      <c r="D12" s="45">
        <v>25342</v>
      </c>
      <c r="E12" s="45">
        <v>5042</v>
      </c>
      <c r="F12" s="45">
        <v>1067</v>
      </c>
      <c r="G12" s="45">
        <v>788008</v>
      </c>
      <c r="H12" s="45">
        <v>756145</v>
      </c>
      <c r="I12" s="45">
        <v>25716</v>
      </c>
      <c r="J12" s="45">
        <v>5066</v>
      </c>
      <c r="K12" s="45">
        <v>1081</v>
      </c>
      <c r="L12" s="140">
        <f t="shared" si="0"/>
        <v>1.0286907823453391</v>
      </c>
      <c r="M12" s="140">
        <f t="shared" si="1"/>
        <v>1.0293583127206196</v>
      </c>
      <c r="N12" s="140">
        <f t="shared" si="2"/>
        <v>1.0147581090679505</v>
      </c>
      <c r="O12" s="140">
        <f t="shared" si="3"/>
        <v>1.0047600158667196</v>
      </c>
      <c r="P12" s="140">
        <f t="shared" si="4"/>
        <v>1.0131208997188379</v>
      </c>
      <c r="Q12" s="45">
        <v>809369</v>
      </c>
      <c r="R12" s="45">
        <v>776988</v>
      </c>
      <c r="S12" s="45">
        <v>26192</v>
      </c>
      <c r="T12" s="45">
        <v>5111</v>
      </c>
      <c r="U12" s="45">
        <v>1078</v>
      </c>
      <c r="V12" s="140">
        <f t="shared" si="5"/>
        <v>1.0271075928163167</v>
      </c>
      <c r="W12" s="140">
        <f t="shared" si="6"/>
        <v>1.0275648189170066</v>
      </c>
      <c r="X12" s="140">
        <f t="shared" si="7"/>
        <v>1.0185098771193031</v>
      </c>
      <c r="Y12" s="140">
        <f t="shared" si="8"/>
        <v>1.0088827477299644</v>
      </c>
      <c r="Z12" s="140">
        <f t="shared" si="9"/>
        <v>0.9972247918593895</v>
      </c>
      <c r="AA12" s="45">
        <v>816423</v>
      </c>
      <c r="AB12" s="45">
        <v>786375</v>
      </c>
      <c r="AC12" s="45">
        <v>24132</v>
      </c>
      <c r="AD12" s="45">
        <v>4871</v>
      </c>
      <c r="AE12" s="45">
        <v>1045</v>
      </c>
      <c r="AF12" s="140">
        <f t="shared" si="10"/>
        <v>1.0087154314039704</v>
      </c>
      <c r="AG12" s="140">
        <f t="shared" si="11"/>
        <v>1.0120812676643656</v>
      </c>
      <c r="AH12" s="140">
        <f t="shared" si="12"/>
        <v>0.92135003054367748</v>
      </c>
      <c r="AI12" s="140">
        <f t="shared" si="13"/>
        <v>0.95304245744472704</v>
      </c>
      <c r="AJ12" s="140">
        <f t="shared" si="14"/>
        <v>0.96938775510204078</v>
      </c>
      <c r="AK12" s="45">
        <v>846686</v>
      </c>
      <c r="AL12" s="45">
        <v>816607</v>
      </c>
      <c r="AM12" s="45">
        <v>24160</v>
      </c>
      <c r="AN12" s="45">
        <v>4880</v>
      </c>
      <c r="AO12" s="47">
        <v>1039</v>
      </c>
      <c r="AP12" s="140">
        <f t="shared" si="15"/>
        <v>1.0370677945133835</v>
      </c>
      <c r="AQ12" s="140">
        <f t="shared" si="16"/>
        <v>1.0384447623589255</v>
      </c>
      <c r="AR12" s="140">
        <f t="shared" si="17"/>
        <v>1.0011602850986243</v>
      </c>
      <c r="AS12" s="140">
        <f t="shared" si="18"/>
        <v>1.001847669882981</v>
      </c>
      <c r="AT12" s="140">
        <f t="shared" si="19"/>
        <v>0.99425837320574162</v>
      </c>
      <c r="AU12" s="140">
        <f t="shared" si="20"/>
        <v>1.0253954002697523</v>
      </c>
      <c r="AV12" s="140">
        <f t="shared" si="21"/>
        <v>1.0268622904152294</v>
      </c>
      <c r="AW12" s="140">
        <f t="shared" si="22"/>
        <v>0.9889445754573889</v>
      </c>
      <c r="AX12" s="140">
        <f t="shared" si="23"/>
        <v>0.99213322273109805</v>
      </c>
      <c r="AY12" s="140">
        <f t="shared" si="24"/>
        <v>0.99349795497150239</v>
      </c>
    </row>
    <row r="13" spans="1:51" x14ac:dyDescent="0.3">
      <c r="A13" s="139" t="s">
        <v>9</v>
      </c>
      <c r="B13" s="45">
        <v>100432</v>
      </c>
      <c r="C13" s="45">
        <v>96244</v>
      </c>
      <c r="D13" s="45">
        <v>3435</v>
      </c>
      <c r="E13" s="45">
        <v>668</v>
      </c>
      <c r="F13" s="45">
        <v>85</v>
      </c>
      <c r="G13" s="45">
        <v>100295</v>
      </c>
      <c r="H13" s="45">
        <v>96108</v>
      </c>
      <c r="I13" s="45">
        <v>3434</v>
      </c>
      <c r="J13" s="45">
        <v>666</v>
      </c>
      <c r="K13" s="45">
        <v>87</v>
      </c>
      <c r="L13" s="140">
        <f t="shared" si="0"/>
        <v>0.99863589294248845</v>
      </c>
      <c r="M13" s="140">
        <f t="shared" si="1"/>
        <v>0.99858692489921452</v>
      </c>
      <c r="N13" s="140">
        <f t="shared" si="2"/>
        <v>0.99970887918486173</v>
      </c>
      <c r="O13" s="140">
        <f t="shared" si="3"/>
        <v>0.99700598802395213</v>
      </c>
      <c r="P13" s="140">
        <f t="shared" si="4"/>
        <v>1.0235294117647058</v>
      </c>
      <c r="Q13" s="45">
        <v>100590</v>
      </c>
      <c r="R13" s="45">
        <v>96424</v>
      </c>
      <c r="S13" s="45">
        <v>3423</v>
      </c>
      <c r="T13" s="45">
        <v>657</v>
      </c>
      <c r="U13" s="45">
        <v>86</v>
      </c>
      <c r="V13" s="140">
        <f t="shared" si="5"/>
        <v>1.0029413230968642</v>
      </c>
      <c r="W13" s="140">
        <f t="shared" si="6"/>
        <v>1.0032879677030009</v>
      </c>
      <c r="X13" s="140">
        <f t="shared" si="7"/>
        <v>0.99679673849737915</v>
      </c>
      <c r="Y13" s="140">
        <f t="shared" si="8"/>
        <v>0.98648648648648651</v>
      </c>
      <c r="Z13" s="140">
        <f t="shared" si="9"/>
        <v>0.9885057471264368</v>
      </c>
      <c r="AA13" s="45">
        <v>100931</v>
      </c>
      <c r="AB13" s="45">
        <v>96822</v>
      </c>
      <c r="AC13" s="45">
        <v>3382</v>
      </c>
      <c r="AD13" s="45">
        <v>641</v>
      </c>
      <c r="AE13" s="45">
        <v>86</v>
      </c>
      <c r="AF13" s="140">
        <f t="shared" si="10"/>
        <v>1.0033899990058655</v>
      </c>
      <c r="AG13" s="140">
        <f t="shared" si="11"/>
        <v>1.0041276030863686</v>
      </c>
      <c r="AH13" s="140">
        <f t="shared" si="12"/>
        <v>0.98802220274612917</v>
      </c>
      <c r="AI13" s="140">
        <f t="shared" si="13"/>
        <v>0.9756468797564688</v>
      </c>
      <c r="AJ13" s="140">
        <f t="shared" si="14"/>
        <v>1</v>
      </c>
      <c r="AK13" s="45">
        <v>103249</v>
      </c>
      <c r="AL13" s="45">
        <v>99212</v>
      </c>
      <c r="AM13" s="45">
        <v>3322</v>
      </c>
      <c r="AN13" s="45">
        <v>631</v>
      </c>
      <c r="AO13" s="47">
        <v>84</v>
      </c>
      <c r="AP13" s="140">
        <f t="shared" si="15"/>
        <v>1.0229661848193321</v>
      </c>
      <c r="AQ13" s="140">
        <f t="shared" si="16"/>
        <v>1.0246844725372333</v>
      </c>
      <c r="AR13" s="140">
        <f t="shared" si="17"/>
        <v>0.98225901833234774</v>
      </c>
      <c r="AS13" s="140">
        <f t="shared" si="18"/>
        <v>0.98439937597503901</v>
      </c>
      <c r="AT13" s="140">
        <f t="shared" si="19"/>
        <v>0.97674418604651159</v>
      </c>
      <c r="AU13" s="140">
        <f t="shared" si="20"/>
        <v>1.0069833499661376</v>
      </c>
      <c r="AV13" s="140">
        <f t="shared" si="21"/>
        <v>1.0076717420564543</v>
      </c>
      <c r="AW13" s="140">
        <f t="shared" si="22"/>
        <v>0.99169670969017942</v>
      </c>
      <c r="AX13" s="140">
        <f t="shared" si="23"/>
        <v>0.98588468256048656</v>
      </c>
      <c r="AY13" s="140">
        <f t="shared" si="24"/>
        <v>0.99719483623441352</v>
      </c>
    </row>
    <row r="14" spans="1:51" x14ac:dyDescent="0.3">
      <c r="A14" s="139" t="s">
        <v>10</v>
      </c>
      <c r="B14" s="45">
        <v>165155</v>
      </c>
      <c r="C14" s="45">
        <v>157787</v>
      </c>
      <c r="D14" s="45">
        <v>5929</v>
      </c>
      <c r="E14" s="45">
        <v>1249</v>
      </c>
      <c r="F14" s="45">
        <v>190</v>
      </c>
      <c r="G14" s="45">
        <v>167749</v>
      </c>
      <c r="H14" s="45">
        <v>160356</v>
      </c>
      <c r="I14" s="45">
        <v>5952</v>
      </c>
      <c r="J14" s="45">
        <v>1251</v>
      </c>
      <c r="K14" s="45">
        <v>190</v>
      </c>
      <c r="L14" s="140">
        <f t="shared" si="0"/>
        <v>1.0157064575701613</v>
      </c>
      <c r="M14" s="140">
        <f t="shared" si="1"/>
        <v>1.0162814427044053</v>
      </c>
      <c r="N14" s="140">
        <f t="shared" si="2"/>
        <v>1.0038792376454715</v>
      </c>
      <c r="O14" s="140">
        <f t="shared" si="3"/>
        <v>1.0016012810248198</v>
      </c>
      <c r="P14" s="140">
        <f t="shared" si="4"/>
        <v>1</v>
      </c>
      <c r="Q14" s="45">
        <v>171070</v>
      </c>
      <c r="R14" s="45">
        <v>163706</v>
      </c>
      <c r="S14" s="45">
        <v>5907</v>
      </c>
      <c r="T14" s="45">
        <v>1272</v>
      </c>
      <c r="U14" s="45">
        <v>185</v>
      </c>
      <c r="V14" s="140">
        <f t="shared" si="5"/>
        <v>1.0197974354541606</v>
      </c>
      <c r="W14" s="140">
        <f t="shared" si="6"/>
        <v>1.0208910174860935</v>
      </c>
      <c r="X14" s="140">
        <f t="shared" si="7"/>
        <v>0.99243951612903225</v>
      </c>
      <c r="Y14" s="140">
        <f t="shared" si="8"/>
        <v>1.0167865707434052</v>
      </c>
      <c r="Z14" s="140">
        <f t="shared" si="9"/>
        <v>0.97368421052631582</v>
      </c>
      <c r="AA14" s="45">
        <v>174830</v>
      </c>
      <c r="AB14" s="45">
        <v>167467</v>
      </c>
      <c r="AC14" s="45">
        <v>5881</v>
      </c>
      <c r="AD14" s="45">
        <v>1298</v>
      </c>
      <c r="AE14" s="45">
        <v>184</v>
      </c>
      <c r="AF14" s="140">
        <f t="shared" si="10"/>
        <v>1.0219793067165488</v>
      </c>
      <c r="AG14" s="140">
        <f t="shared" si="11"/>
        <v>1.0229741121278388</v>
      </c>
      <c r="AH14" s="140">
        <f t="shared" si="12"/>
        <v>0.99559844252581686</v>
      </c>
      <c r="AI14" s="140">
        <f t="shared" si="13"/>
        <v>1.020440251572327</v>
      </c>
      <c r="AJ14" s="140">
        <f t="shared" si="14"/>
        <v>0.99459459459459465</v>
      </c>
      <c r="AK14" s="45">
        <v>180378</v>
      </c>
      <c r="AL14" s="45">
        <v>173155</v>
      </c>
      <c r="AM14" s="45">
        <v>5767</v>
      </c>
      <c r="AN14" s="45">
        <v>1274</v>
      </c>
      <c r="AO14" s="47">
        <v>182</v>
      </c>
      <c r="AP14" s="140">
        <f t="shared" si="15"/>
        <v>1.0317336841503175</v>
      </c>
      <c r="AQ14" s="140">
        <f t="shared" si="16"/>
        <v>1.0339649005475706</v>
      </c>
      <c r="AR14" s="140">
        <f t="shared" si="17"/>
        <v>0.9806155415745621</v>
      </c>
      <c r="AS14" s="140">
        <f t="shared" si="18"/>
        <v>0.9815100154083205</v>
      </c>
      <c r="AT14" s="140">
        <f t="shared" si="19"/>
        <v>0.98913043478260865</v>
      </c>
      <c r="AU14" s="140">
        <f t="shared" si="20"/>
        <v>1.0223042209727971</v>
      </c>
      <c r="AV14" s="140">
        <f t="shared" si="21"/>
        <v>1.023527868216477</v>
      </c>
      <c r="AW14" s="140">
        <f t="shared" si="22"/>
        <v>0.99313318446872079</v>
      </c>
      <c r="AX14" s="140">
        <f t="shared" si="23"/>
        <v>1.0050845296872182</v>
      </c>
      <c r="AY14" s="140">
        <f t="shared" si="24"/>
        <v>0.98935230997587975</v>
      </c>
    </row>
    <row r="15" spans="1:51" x14ac:dyDescent="0.3">
      <c r="A15" s="139" t="s">
        <v>11</v>
      </c>
      <c r="B15" s="45">
        <v>99309</v>
      </c>
      <c r="C15" s="45">
        <v>95459</v>
      </c>
      <c r="D15" s="45">
        <v>3032</v>
      </c>
      <c r="E15" s="45">
        <v>725</v>
      </c>
      <c r="F15" s="45">
        <v>93</v>
      </c>
      <c r="G15" s="45">
        <v>99956</v>
      </c>
      <c r="H15" s="45">
        <v>96097</v>
      </c>
      <c r="I15" s="45">
        <v>3049</v>
      </c>
      <c r="J15" s="45">
        <v>720</v>
      </c>
      <c r="K15" s="45">
        <v>90</v>
      </c>
      <c r="L15" s="140">
        <f t="shared" si="0"/>
        <v>1.0065150187797682</v>
      </c>
      <c r="M15" s="140">
        <f t="shared" si="1"/>
        <v>1.0066834976272536</v>
      </c>
      <c r="N15" s="140">
        <f t="shared" si="2"/>
        <v>1.0056068601583112</v>
      </c>
      <c r="O15" s="140">
        <f t="shared" si="3"/>
        <v>0.99310344827586206</v>
      </c>
      <c r="P15" s="140">
        <f t="shared" si="4"/>
        <v>0.967741935483871</v>
      </c>
      <c r="Q15" s="45">
        <v>101202</v>
      </c>
      <c r="R15" s="45">
        <v>97310</v>
      </c>
      <c r="S15" s="45">
        <v>3062</v>
      </c>
      <c r="T15" s="45">
        <v>742</v>
      </c>
      <c r="U15" s="45">
        <v>88</v>
      </c>
      <c r="V15" s="140">
        <f t="shared" si="5"/>
        <v>1.0124654848133179</v>
      </c>
      <c r="W15" s="140">
        <f t="shared" si="6"/>
        <v>1.0126226625180808</v>
      </c>
      <c r="X15" s="140">
        <f t="shared" si="7"/>
        <v>1.0042636930141029</v>
      </c>
      <c r="Y15" s="140">
        <f t="shared" si="8"/>
        <v>1.0305555555555554</v>
      </c>
      <c r="Z15" s="140">
        <f t="shared" si="9"/>
        <v>0.97777777777777775</v>
      </c>
      <c r="AA15" s="45">
        <v>103040</v>
      </c>
      <c r="AB15" s="45">
        <v>99128</v>
      </c>
      <c r="AC15" s="45">
        <v>3082</v>
      </c>
      <c r="AD15" s="45">
        <v>745</v>
      </c>
      <c r="AE15" s="45">
        <v>85</v>
      </c>
      <c r="AF15" s="140">
        <f t="shared" si="10"/>
        <v>1.0181616964091618</v>
      </c>
      <c r="AG15" s="140">
        <f t="shared" si="11"/>
        <v>1.018682560887884</v>
      </c>
      <c r="AH15" s="140">
        <f t="shared" si="12"/>
        <v>1.0065316786414109</v>
      </c>
      <c r="AI15" s="140">
        <f t="shared" si="13"/>
        <v>1.0040431266846361</v>
      </c>
      <c r="AJ15" s="140">
        <f t="shared" si="14"/>
        <v>0.96590909090909094</v>
      </c>
      <c r="AK15" s="45">
        <v>106714</v>
      </c>
      <c r="AL15" s="45">
        <v>102876</v>
      </c>
      <c r="AM15" s="45">
        <v>3016</v>
      </c>
      <c r="AN15" s="45">
        <v>736</v>
      </c>
      <c r="AO15" s="47">
        <v>86</v>
      </c>
      <c r="AP15" s="140">
        <f t="shared" si="15"/>
        <v>1.0356560559006212</v>
      </c>
      <c r="AQ15" s="140">
        <f t="shared" si="16"/>
        <v>1.0378097005891374</v>
      </c>
      <c r="AR15" s="140">
        <f t="shared" si="17"/>
        <v>0.97858533419857241</v>
      </c>
      <c r="AS15" s="140">
        <f t="shared" si="18"/>
        <v>0.98791946308724832</v>
      </c>
      <c r="AT15" s="140">
        <f t="shared" si="19"/>
        <v>1.0117647058823529</v>
      </c>
      <c r="AU15" s="140">
        <f t="shared" si="20"/>
        <v>1.0181995639757173</v>
      </c>
      <c r="AV15" s="140">
        <f t="shared" si="21"/>
        <v>1.0189496054055889</v>
      </c>
      <c r="AW15" s="140">
        <f t="shared" si="22"/>
        <v>0.99874689150309925</v>
      </c>
      <c r="AX15" s="140">
        <f t="shared" si="23"/>
        <v>1.0039053984008255</v>
      </c>
      <c r="AY15" s="140">
        <f t="shared" si="24"/>
        <v>0.98079837751327315</v>
      </c>
    </row>
    <row r="16" spans="1:51" x14ac:dyDescent="0.3">
      <c r="A16" s="139" t="s">
        <v>12</v>
      </c>
      <c r="B16" s="45">
        <v>281861</v>
      </c>
      <c r="C16" s="45">
        <v>270265</v>
      </c>
      <c r="D16" s="45">
        <v>9416</v>
      </c>
      <c r="E16" s="45">
        <v>1937</v>
      </c>
      <c r="F16" s="45">
        <v>243</v>
      </c>
      <c r="G16" s="45">
        <v>286844</v>
      </c>
      <c r="H16" s="45">
        <v>275223</v>
      </c>
      <c r="I16" s="45">
        <v>9448</v>
      </c>
      <c r="J16" s="45">
        <v>1928</v>
      </c>
      <c r="K16" s="45">
        <v>245</v>
      </c>
      <c r="L16" s="140">
        <f t="shared" si="0"/>
        <v>1.0176789268469211</v>
      </c>
      <c r="M16" s="140">
        <f t="shared" si="1"/>
        <v>1.0183449577266757</v>
      </c>
      <c r="N16" s="140">
        <f t="shared" si="2"/>
        <v>1.0033984706881902</v>
      </c>
      <c r="O16" s="140">
        <f t="shared" si="3"/>
        <v>0.99535363964894163</v>
      </c>
      <c r="P16" s="140">
        <f t="shared" si="4"/>
        <v>1.0082304526748971</v>
      </c>
      <c r="Q16" s="45">
        <v>293704</v>
      </c>
      <c r="R16" s="45">
        <v>282142</v>
      </c>
      <c r="S16" s="45">
        <v>9418</v>
      </c>
      <c r="T16" s="45">
        <v>1902</v>
      </c>
      <c r="U16" s="45">
        <v>242</v>
      </c>
      <c r="V16" s="140">
        <f t="shared" si="5"/>
        <v>1.0239154383567375</v>
      </c>
      <c r="W16" s="140">
        <f t="shared" si="6"/>
        <v>1.0251396140584181</v>
      </c>
      <c r="X16" s="140">
        <f t="shared" si="7"/>
        <v>0.99682472480948348</v>
      </c>
      <c r="Y16" s="140">
        <f t="shared" si="8"/>
        <v>0.98651452282157681</v>
      </c>
      <c r="Z16" s="140">
        <f t="shared" si="9"/>
        <v>0.98775510204081629</v>
      </c>
      <c r="AA16" s="45">
        <v>296630</v>
      </c>
      <c r="AB16" s="45">
        <v>286091</v>
      </c>
      <c r="AC16" s="45">
        <v>8480</v>
      </c>
      <c r="AD16" s="45">
        <v>1822</v>
      </c>
      <c r="AE16" s="45">
        <v>237</v>
      </c>
      <c r="AF16" s="140">
        <f t="shared" si="10"/>
        <v>1.0099624111350203</v>
      </c>
      <c r="AG16" s="140">
        <f t="shared" si="11"/>
        <v>1.0139964982172098</v>
      </c>
      <c r="AH16" s="140">
        <f t="shared" si="12"/>
        <v>0.90040348269271608</v>
      </c>
      <c r="AI16" s="140">
        <f t="shared" si="13"/>
        <v>0.95793901156677186</v>
      </c>
      <c r="AJ16" s="140">
        <f t="shared" si="14"/>
        <v>0.97933884297520657</v>
      </c>
      <c r="AK16" s="45">
        <v>305933</v>
      </c>
      <c r="AL16" s="45">
        <v>295549</v>
      </c>
      <c r="AM16" s="45">
        <v>8360</v>
      </c>
      <c r="AN16" s="45">
        <v>1787</v>
      </c>
      <c r="AO16" s="47">
        <v>237</v>
      </c>
      <c r="AP16" s="140">
        <f t="shared" si="15"/>
        <v>1.0313623032060142</v>
      </c>
      <c r="AQ16" s="140">
        <f t="shared" si="16"/>
        <v>1.0330594111663771</v>
      </c>
      <c r="AR16" s="140">
        <f t="shared" si="17"/>
        <v>0.98584905660377353</v>
      </c>
      <c r="AS16" s="140">
        <f t="shared" si="18"/>
        <v>0.98079034028540069</v>
      </c>
      <c r="AT16" s="140">
        <f t="shared" si="19"/>
        <v>1</v>
      </c>
      <c r="AU16" s="140">
        <f t="shared" si="20"/>
        <v>1.0207297698861733</v>
      </c>
      <c r="AV16" s="140">
        <f t="shared" si="21"/>
        <v>1.0226351202921702</v>
      </c>
      <c r="AW16" s="140">
        <f t="shared" si="22"/>
        <v>0.9716189336985408</v>
      </c>
      <c r="AX16" s="140">
        <f t="shared" si="23"/>
        <v>0.98014937858067275</v>
      </c>
      <c r="AY16" s="140">
        <f t="shared" si="24"/>
        <v>0.99383109942272996</v>
      </c>
    </row>
    <row r="17" spans="1:51" x14ac:dyDescent="0.3">
      <c r="A17" s="139" t="s">
        <v>13</v>
      </c>
      <c r="B17" s="45">
        <v>465779</v>
      </c>
      <c r="C17" s="45">
        <v>442260</v>
      </c>
      <c r="D17" s="45">
        <v>19310</v>
      </c>
      <c r="E17" s="45">
        <v>3655</v>
      </c>
      <c r="F17" s="45">
        <v>554</v>
      </c>
      <c r="G17" s="45">
        <v>467090</v>
      </c>
      <c r="H17" s="45">
        <v>443494</v>
      </c>
      <c r="I17" s="45">
        <v>19374</v>
      </c>
      <c r="J17" s="45">
        <v>3668</v>
      </c>
      <c r="K17" s="45">
        <v>554</v>
      </c>
      <c r="L17" s="140">
        <f t="shared" si="0"/>
        <v>1.0028146395608217</v>
      </c>
      <c r="M17" s="140">
        <f t="shared" si="1"/>
        <v>1.0027902139013249</v>
      </c>
      <c r="N17" s="140">
        <f t="shared" si="2"/>
        <v>1.0033143448990161</v>
      </c>
      <c r="O17" s="140">
        <f t="shared" si="3"/>
        <v>1.0035567715458276</v>
      </c>
      <c r="P17" s="140">
        <f t="shared" si="4"/>
        <v>1</v>
      </c>
      <c r="Q17" s="45">
        <v>469927</v>
      </c>
      <c r="R17" s="45">
        <v>446519</v>
      </c>
      <c r="S17" s="45">
        <v>19217</v>
      </c>
      <c r="T17" s="45">
        <v>3643</v>
      </c>
      <c r="U17" s="45">
        <v>548</v>
      </c>
      <c r="V17" s="140">
        <f t="shared" si="5"/>
        <v>1.0060737759318332</v>
      </c>
      <c r="W17" s="140">
        <f t="shared" si="6"/>
        <v>1.0068208363585527</v>
      </c>
      <c r="X17" s="140">
        <f t="shared" si="7"/>
        <v>0.99189635594095182</v>
      </c>
      <c r="Y17" s="140">
        <f t="shared" si="8"/>
        <v>0.9931842966194111</v>
      </c>
      <c r="Z17" s="140">
        <f t="shared" si="9"/>
        <v>0.98916967509025266</v>
      </c>
      <c r="AA17" s="45">
        <v>472498</v>
      </c>
      <c r="AB17" s="45">
        <v>450435</v>
      </c>
      <c r="AC17" s="45">
        <v>17992</v>
      </c>
      <c r="AD17" s="45">
        <v>3527</v>
      </c>
      <c r="AE17" s="45">
        <v>544</v>
      </c>
      <c r="AF17" s="140">
        <f t="shared" si="10"/>
        <v>1.0054710625267329</v>
      </c>
      <c r="AG17" s="140">
        <f t="shared" si="11"/>
        <v>1.0087700635359302</v>
      </c>
      <c r="AH17" s="140">
        <f t="shared" si="12"/>
        <v>0.93625435812041424</v>
      </c>
      <c r="AI17" s="140">
        <f t="shared" si="13"/>
        <v>0.9681581114466099</v>
      </c>
      <c r="AJ17" s="140">
        <f t="shared" si="14"/>
        <v>0.99270072992700731</v>
      </c>
      <c r="AK17" s="45">
        <v>484380</v>
      </c>
      <c r="AL17" s="45">
        <v>462663</v>
      </c>
      <c r="AM17" s="45">
        <v>17669</v>
      </c>
      <c r="AN17" s="45">
        <v>3507</v>
      </c>
      <c r="AO17" s="47">
        <v>541</v>
      </c>
      <c r="AP17" s="140">
        <f t="shared" si="15"/>
        <v>1.0251471963902492</v>
      </c>
      <c r="AQ17" s="140">
        <f t="shared" si="16"/>
        <v>1.0271470911452263</v>
      </c>
      <c r="AR17" s="140">
        <f t="shared" si="17"/>
        <v>0.98204757670075593</v>
      </c>
      <c r="AS17" s="140">
        <f t="shared" si="18"/>
        <v>0.99432945846328324</v>
      </c>
      <c r="AT17" s="140">
        <f t="shared" si="19"/>
        <v>0.99448529411764708</v>
      </c>
      <c r="AU17" s="140">
        <f t="shared" si="20"/>
        <v>1.0098766686024092</v>
      </c>
      <c r="AV17" s="140">
        <f t="shared" si="21"/>
        <v>1.0113820512352585</v>
      </c>
      <c r="AW17" s="140">
        <f t="shared" si="22"/>
        <v>0.97837815891528457</v>
      </c>
      <c r="AX17" s="140">
        <f t="shared" si="23"/>
        <v>0.98980715951878295</v>
      </c>
      <c r="AY17" s="140">
        <f t="shared" si="24"/>
        <v>0.99408892478372679</v>
      </c>
    </row>
    <row r="18" spans="1:51" x14ac:dyDescent="0.3">
      <c r="A18" s="139" t="s">
        <v>14</v>
      </c>
      <c r="B18" s="45">
        <v>110574</v>
      </c>
      <c r="C18" s="45">
        <v>105611</v>
      </c>
      <c r="D18" s="45">
        <v>4003</v>
      </c>
      <c r="E18" s="45">
        <v>843</v>
      </c>
      <c r="F18" s="45">
        <v>117</v>
      </c>
      <c r="G18" s="45">
        <v>111128</v>
      </c>
      <c r="H18" s="45">
        <v>106139</v>
      </c>
      <c r="I18" s="45">
        <v>4028</v>
      </c>
      <c r="J18" s="45">
        <v>843</v>
      </c>
      <c r="K18" s="45">
        <v>118</v>
      </c>
      <c r="L18" s="140">
        <f t="shared" si="0"/>
        <v>1.0050102194005823</v>
      </c>
      <c r="M18" s="140">
        <f t="shared" si="1"/>
        <v>1.0049994792209145</v>
      </c>
      <c r="N18" s="140">
        <f t="shared" si="2"/>
        <v>1.0062453160129903</v>
      </c>
      <c r="O18" s="140">
        <f t="shared" si="3"/>
        <v>1</v>
      </c>
      <c r="P18" s="140">
        <f t="shared" si="4"/>
        <v>1.0085470085470085</v>
      </c>
      <c r="Q18" s="45">
        <v>112296</v>
      </c>
      <c r="R18" s="45">
        <v>107314</v>
      </c>
      <c r="S18" s="45">
        <v>4034</v>
      </c>
      <c r="T18" s="45">
        <v>832</v>
      </c>
      <c r="U18" s="45">
        <v>116</v>
      </c>
      <c r="V18" s="140">
        <f t="shared" si="5"/>
        <v>1.0105104024188323</v>
      </c>
      <c r="W18" s="140">
        <f t="shared" si="6"/>
        <v>1.0110703888297421</v>
      </c>
      <c r="X18" s="140">
        <f t="shared" si="7"/>
        <v>1.0014895729890765</v>
      </c>
      <c r="Y18" s="140">
        <f t="shared" si="8"/>
        <v>0.98695136417556351</v>
      </c>
      <c r="Z18" s="140">
        <f t="shared" si="9"/>
        <v>0.98305084745762716</v>
      </c>
      <c r="AA18" s="45">
        <v>113717</v>
      </c>
      <c r="AB18" s="45">
        <v>108825</v>
      </c>
      <c r="AC18" s="45">
        <v>3968</v>
      </c>
      <c r="AD18" s="45">
        <v>810</v>
      </c>
      <c r="AE18" s="45">
        <v>114</v>
      </c>
      <c r="AF18" s="140">
        <f t="shared" si="10"/>
        <v>1.0126540571347153</v>
      </c>
      <c r="AG18" s="140">
        <f t="shared" si="11"/>
        <v>1.0140801759323108</v>
      </c>
      <c r="AH18" s="140">
        <f t="shared" si="12"/>
        <v>0.98363906792265743</v>
      </c>
      <c r="AI18" s="140">
        <f t="shared" si="13"/>
        <v>0.97355769230769229</v>
      </c>
      <c r="AJ18" s="140">
        <f t="shared" si="14"/>
        <v>0.98275862068965514</v>
      </c>
      <c r="AK18" s="45">
        <v>116316</v>
      </c>
      <c r="AL18" s="45">
        <v>111506</v>
      </c>
      <c r="AM18" s="45">
        <v>3904</v>
      </c>
      <c r="AN18" s="45">
        <v>793</v>
      </c>
      <c r="AO18" s="47">
        <v>113</v>
      </c>
      <c r="AP18" s="140">
        <f t="shared" si="15"/>
        <v>1.0228549821046986</v>
      </c>
      <c r="AQ18" s="140">
        <f t="shared" si="16"/>
        <v>1.0246358832988745</v>
      </c>
      <c r="AR18" s="140">
        <f t="shared" si="17"/>
        <v>0.9838709677419355</v>
      </c>
      <c r="AS18" s="140">
        <f t="shared" si="18"/>
        <v>0.9790123456790123</v>
      </c>
      <c r="AT18" s="140">
        <f t="shared" si="19"/>
        <v>0.99122807017543857</v>
      </c>
      <c r="AU18" s="140">
        <f t="shared" si="20"/>
        <v>1.0127574152647072</v>
      </c>
      <c r="AV18" s="140">
        <f t="shared" si="21"/>
        <v>1.0136964818204603</v>
      </c>
      <c r="AW18" s="140">
        <f t="shared" si="22"/>
        <v>0.99381123116666492</v>
      </c>
      <c r="AX18" s="140">
        <f t="shared" si="23"/>
        <v>0.984880350540567</v>
      </c>
      <c r="AY18" s="140">
        <f t="shared" si="24"/>
        <v>0.99139613671743232</v>
      </c>
    </row>
    <row r="19" spans="1:51" x14ac:dyDescent="0.3">
      <c r="A19" s="139" t="s">
        <v>15</v>
      </c>
      <c r="B19" s="45">
        <v>123876</v>
      </c>
      <c r="C19" s="45">
        <v>118242</v>
      </c>
      <c r="D19" s="45">
        <v>4513</v>
      </c>
      <c r="E19" s="45">
        <v>1005</v>
      </c>
      <c r="F19" s="45">
        <v>116</v>
      </c>
      <c r="G19" s="45">
        <v>124287</v>
      </c>
      <c r="H19" s="45">
        <v>118661</v>
      </c>
      <c r="I19" s="45">
        <v>4501</v>
      </c>
      <c r="J19" s="45">
        <v>1011</v>
      </c>
      <c r="K19" s="45">
        <v>114</v>
      </c>
      <c r="L19" s="140">
        <f t="shared" si="0"/>
        <v>1.0033178339629953</v>
      </c>
      <c r="M19" s="140">
        <f t="shared" si="1"/>
        <v>1.0035435801153567</v>
      </c>
      <c r="N19" s="140">
        <f t="shared" si="2"/>
        <v>0.99734101484600046</v>
      </c>
      <c r="O19" s="140">
        <f t="shared" si="3"/>
        <v>1.0059701492537314</v>
      </c>
      <c r="P19" s="140">
        <f t="shared" si="4"/>
        <v>0.98275862068965514</v>
      </c>
      <c r="Q19" s="45">
        <v>125377</v>
      </c>
      <c r="R19" s="45">
        <v>119801</v>
      </c>
      <c r="S19" s="45">
        <v>4477</v>
      </c>
      <c r="T19" s="45">
        <v>986</v>
      </c>
      <c r="U19" s="45">
        <v>113</v>
      </c>
      <c r="V19" s="140">
        <f t="shared" si="5"/>
        <v>1.0087700242181403</v>
      </c>
      <c r="W19" s="140">
        <f t="shared" si="6"/>
        <v>1.0096072003438366</v>
      </c>
      <c r="X19" s="140">
        <f t="shared" si="7"/>
        <v>0.99466785158853588</v>
      </c>
      <c r="Y19" s="140">
        <f t="shared" si="8"/>
        <v>0.97527200791295743</v>
      </c>
      <c r="Z19" s="140">
        <f t="shared" si="9"/>
        <v>0.99122807017543857</v>
      </c>
      <c r="AA19" s="45">
        <v>127120</v>
      </c>
      <c r="AB19" s="45">
        <v>121735</v>
      </c>
      <c r="AC19" s="45">
        <v>4318</v>
      </c>
      <c r="AD19" s="45">
        <v>958</v>
      </c>
      <c r="AE19" s="45">
        <v>109</v>
      </c>
      <c r="AF19" s="140">
        <f t="shared" si="10"/>
        <v>1.0139020713528</v>
      </c>
      <c r="AG19" s="140">
        <f t="shared" si="11"/>
        <v>1.0161434378677974</v>
      </c>
      <c r="AH19" s="140">
        <f t="shared" si="12"/>
        <v>0.96448514630332816</v>
      </c>
      <c r="AI19" s="140">
        <f t="shared" si="13"/>
        <v>0.97160243407707914</v>
      </c>
      <c r="AJ19" s="140">
        <f t="shared" si="14"/>
        <v>0.96460176991150437</v>
      </c>
      <c r="AK19" s="45">
        <v>131280</v>
      </c>
      <c r="AL19" s="45">
        <v>126016</v>
      </c>
      <c r="AM19" s="45">
        <v>4209</v>
      </c>
      <c r="AN19" s="45">
        <v>947</v>
      </c>
      <c r="AO19" s="47">
        <v>108</v>
      </c>
      <c r="AP19" s="140">
        <f t="shared" si="15"/>
        <v>1.0327249842668345</v>
      </c>
      <c r="AQ19" s="140">
        <f t="shared" si="16"/>
        <v>1.0351665502936707</v>
      </c>
      <c r="AR19" s="140">
        <f t="shared" si="17"/>
        <v>0.97475683186660489</v>
      </c>
      <c r="AS19" s="140">
        <f t="shared" si="18"/>
        <v>0.98851774530271397</v>
      </c>
      <c r="AT19" s="140">
        <f t="shared" si="19"/>
        <v>0.99082568807339455</v>
      </c>
      <c r="AU19" s="140">
        <f t="shared" si="20"/>
        <v>1.0146787284501926</v>
      </c>
      <c r="AV19" s="140">
        <f t="shared" si="21"/>
        <v>1.0161151921551652</v>
      </c>
      <c r="AW19" s="140">
        <f t="shared" si="22"/>
        <v>0.98281271115111735</v>
      </c>
      <c r="AX19" s="140">
        <f t="shared" si="23"/>
        <v>0.98534058413662051</v>
      </c>
      <c r="AY19" s="140">
        <f t="shared" si="24"/>
        <v>0.98235353721249818</v>
      </c>
    </row>
    <row r="20" spans="1:51" x14ac:dyDescent="0.3">
      <c r="A20" s="139" t="s">
        <v>16</v>
      </c>
      <c r="B20" s="45">
        <v>409865</v>
      </c>
      <c r="C20" s="45">
        <v>390550</v>
      </c>
      <c r="D20" s="45">
        <v>15833</v>
      </c>
      <c r="E20" s="45">
        <v>3044</v>
      </c>
      <c r="F20" s="45">
        <v>438</v>
      </c>
      <c r="G20" s="45">
        <v>414798</v>
      </c>
      <c r="H20" s="45">
        <v>395374</v>
      </c>
      <c r="I20" s="45">
        <v>15941</v>
      </c>
      <c r="J20" s="45">
        <v>3045</v>
      </c>
      <c r="K20" s="45">
        <v>438</v>
      </c>
      <c r="L20" s="140">
        <f t="shared" si="0"/>
        <v>1.0120356702816782</v>
      </c>
      <c r="M20" s="140">
        <f t="shared" si="1"/>
        <v>1.0123518115478172</v>
      </c>
      <c r="N20" s="140">
        <f t="shared" si="2"/>
        <v>1.0068211962357103</v>
      </c>
      <c r="O20" s="140">
        <f t="shared" si="3"/>
        <v>1.0003285151116952</v>
      </c>
      <c r="P20" s="140">
        <f t="shared" si="4"/>
        <v>1</v>
      </c>
      <c r="Q20" s="45">
        <v>422094</v>
      </c>
      <c r="R20" s="45">
        <v>402747</v>
      </c>
      <c r="S20" s="45">
        <v>15883</v>
      </c>
      <c r="T20" s="45">
        <v>3027</v>
      </c>
      <c r="U20" s="45">
        <v>437</v>
      </c>
      <c r="V20" s="140">
        <f t="shared" si="5"/>
        <v>1.0175892844227792</v>
      </c>
      <c r="W20" s="140">
        <f t="shared" si="6"/>
        <v>1.0186481660402555</v>
      </c>
      <c r="X20" s="140">
        <f t="shared" si="7"/>
        <v>0.99636158333856095</v>
      </c>
      <c r="Y20" s="140">
        <f t="shared" si="8"/>
        <v>0.99408866995073897</v>
      </c>
      <c r="Z20" s="140">
        <f t="shared" si="9"/>
        <v>0.99771689497716898</v>
      </c>
      <c r="AA20" s="45">
        <v>429658</v>
      </c>
      <c r="AB20" s="45">
        <v>411349</v>
      </c>
      <c r="AC20" s="45">
        <v>15019</v>
      </c>
      <c r="AD20" s="45">
        <v>2868</v>
      </c>
      <c r="AE20" s="45">
        <v>422</v>
      </c>
      <c r="AF20" s="140">
        <f t="shared" si="10"/>
        <v>1.0179201789174923</v>
      </c>
      <c r="AG20" s="140">
        <f t="shared" si="11"/>
        <v>1.0213583217255497</v>
      </c>
      <c r="AH20" s="140">
        <f t="shared" si="12"/>
        <v>0.94560221620600637</v>
      </c>
      <c r="AI20" s="140">
        <f t="shared" si="13"/>
        <v>0.94747274529236869</v>
      </c>
      <c r="AJ20" s="140">
        <f t="shared" si="14"/>
        <v>0.96567505720823799</v>
      </c>
      <c r="AK20" s="45">
        <v>443823</v>
      </c>
      <c r="AL20" s="45">
        <v>425664</v>
      </c>
      <c r="AM20" s="45">
        <v>14882</v>
      </c>
      <c r="AN20" s="45">
        <v>2849</v>
      </c>
      <c r="AO20" s="47">
        <v>428</v>
      </c>
      <c r="AP20" s="140">
        <f t="shared" si="15"/>
        <v>1.0329680815904743</v>
      </c>
      <c r="AQ20" s="140">
        <f t="shared" si="16"/>
        <v>1.0348001332202097</v>
      </c>
      <c r="AR20" s="140">
        <f t="shared" si="17"/>
        <v>0.99087822092016775</v>
      </c>
      <c r="AS20" s="140">
        <f t="shared" si="18"/>
        <v>0.99337517433751743</v>
      </c>
      <c r="AT20" s="140">
        <f t="shared" si="19"/>
        <v>1.014218009478673</v>
      </c>
      <c r="AU20" s="140">
        <f t="shared" si="20"/>
        <v>1.0201283038031059</v>
      </c>
      <c r="AV20" s="140">
        <f t="shared" si="21"/>
        <v>1.0217896081334579</v>
      </c>
      <c r="AW20" s="140">
        <f t="shared" si="22"/>
        <v>0.98491580417511138</v>
      </c>
      <c r="AX20" s="140">
        <f t="shared" si="23"/>
        <v>0.9838162761730801</v>
      </c>
      <c r="AY20" s="140">
        <f t="shared" si="24"/>
        <v>0.99440249041602002</v>
      </c>
    </row>
    <row r="21" spans="1:51" x14ac:dyDescent="0.3">
      <c r="A21" s="141" t="s">
        <v>17</v>
      </c>
      <c r="B21" s="48">
        <v>220615</v>
      </c>
      <c r="C21" s="48">
        <v>212598</v>
      </c>
      <c r="D21" s="48">
        <v>6609</v>
      </c>
      <c r="E21" s="48">
        <v>1270</v>
      </c>
      <c r="F21" s="48">
        <v>138</v>
      </c>
      <c r="G21" s="48">
        <v>221168</v>
      </c>
      <c r="H21" s="48">
        <v>213137</v>
      </c>
      <c r="I21" s="48">
        <v>6636</v>
      </c>
      <c r="J21" s="48">
        <v>1259</v>
      </c>
      <c r="K21" s="48">
        <v>136</v>
      </c>
      <c r="L21" s="142">
        <f t="shared" si="0"/>
        <v>1.0025066291956577</v>
      </c>
      <c r="M21" s="142">
        <f t="shared" si="1"/>
        <v>1.0025353013668989</v>
      </c>
      <c r="N21" s="142">
        <f>I21/D21</f>
        <v>1.0040853381752157</v>
      </c>
      <c r="O21" s="142">
        <f>J21/E21</f>
        <v>0.99133858267716535</v>
      </c>
      <c r="P21" s="142">
        <f>K21/F21</f>
        <v>0.98550724637681164</v>
      </c>
      <c r="Q21" s="48">
        <v>223130</v>
      </c>
      <c r="R21" s="48">
        <v>215179</v>
      </c>
      <c r="S21" s="48">
        <v>6568</v>
      </c>
      <c r="T21" s="48">
        <v>1246</v>
      </c>
      <c r="U21" s="48">
        <v>137</v>
      </c>
      <c r="V21" s="142">
        <f t="shared" si="5"/>
        <v>1.0088710844245099</v>
      </c>
      <c r="W21" s="142">
        <f t="shared" si="6"/>
        <v>1.0095806922308186</v>
      </c>
      <c r="X21" s="142">
        <f t="shared" si="7"/>
        <v>0.98975286317058464</v>
      </c>
      <c r="Y21" s="142">
        <f t="shared" si="8"/>
        <v>0.98967434471803017</v>
      </c>
      <c r="Z21" s="142">
        <f t="shared" si="9"/>
        <v>1.0073529411764706</v>
      </c>
      <c r="AA21" s="48">
        <v>223953</v>
      </c>
      <c r="AB21" s="48">
        <v>216515</v>
      </c>
      <c r="AC21" s="48">
        <v>6106</v>
      </c>
      <c r="AD21" s="48">
        <v>1197</v>
      </c>
      <c r="AE21" s="48">
        <v>135</v>
      </c>
      <c r="AF21" s="142">
        <f t="shared" si="10"/>
        <v>1.0036884327522073</v>
      </c>
      <c r="AG21" s="142">
        <f t="shared" si="11"/>
        <v>1.0062087843144545</v>
      </c>
      <c r="AH21" s="142">
        <f t="shared" si="12"/>
        <v>0.92965895249695496</v>
      </c>
      <c r="AI21" s="142">
        <f t="shared" si="13"/>
        <v>0.9606741573033708</v>
      </c>
      <c r="AJ21" s="142">
        <f t="shared" si="14"/>
        <v>0.98540145985401462</v>
      </c>
      <c r="AK21" s="48">
        <v>230326</v>
      </c>
      <c r="AL21" s="48">
        <v>222996</v>
      </c>
      <c r="AM21" s="48">
        <v>6022</v>
      </c>
      <c r="AN21" s="48">
        <v>1177</v>
      </c>
      <c r="AO21" s="49">
        <v>131</v>
      </c>
      <c r="AP21" s="142">
        <f t="shared" si="15"/>
        <v>1.0284568637169407</v>
      </c>
      <c r="AQ21" s="142">
        <f t="shared" si="16"/>
        <v>1.0299332609749903</v>
      </c>
      <c r="AR21" s="142">
        <f t="shared" si="17"/>
        <v>0.98624303963314774</v>
      </c>
      <c r="AS21" s="142">
        <f>AN21/AD21</f>
        <v>0.98329156223893066</v>
      </c>
      <c r="AT21" s="142">
        <f t="shared" si="19"/>
        <v>0.97037037037037033</v>
      </c>
      <c r="AU21" s="142">
        <f t="shared" si="20"/>
        <v>1.0108807525223289</v>
      </c>
      <c r="AV21" s="142">
        <f t="shared" si="21"/>
        <v>1.0120645097217906</v>
      </c>
      <c r="AW21" s="142">
        <f t="shared" si="22"/>
        <v>0.97743504836897577</v>
      </c>
      <c r="AX21" s="142">
        <f t="shared" si="23"/>
        <v>0.9812446617343743</v>
      </c>
      <c r="AY21" s="142">
        <f t="shared" si="24"/>
        <v>0.98715800444441681</v>
      </c>
    </row>
    <row r="22" spans="1:51" x14ac:dyDescent="0.3">
      <c r="A22" s="2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0"/>
      <c r="M22" s="110"/>
      <c r="N22" s="110"/>
      <c r="O22" s="110"/>
      <c r="P22" s="110"/>
      <c r="Q22" s="11"/>
      <c r="R22" s="11"/>
      <c r="S22" s="11"/>
      <c r="T22" s="11"/>
      <c r="U22" s="11"/>
      <c r="V22" s="110"/>
      <c r="W22" s="110"/>
      <c r="X22" s="110"/>
      <c r="Y22" s="110"/>
      <c r="Z22" s="110"/>
      <c r="AA22" s="11"/>
      <c r="AB22" s="11"/>
      <c r="AC22" s="11"/>
      <c r="AD22" s="11"/>
      <c r="AE22" s="11"/>
      <c r="AF22" s="110"/>
      <c r="AG22" s="110"/>
      <c r="AH22" s="110"/>
      <c r="AI22" s="110"/>
      <c r="AJ22" s="110"/>
      <c r="AK22" s="11"/>
      <c r="AL22" s="11"/>
      <c r="AM22" s="11"/>
      <c r="AN22" s="11"/>
      <c r="AO22" s="11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</row>
    <row r="23" spans="1:51" x14ac:dyDescent="0.3">
      <c r="A23" s="32" t="s">
        <v>346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2"/>
      <c r="M23" s="112"/>
      <c r="N23" s="112"/>
      <c r="O23" s="112"/>
      <c r="P23" s="112"/>
      <c r="Q23" s="111"/>
      <c r="R23" s="111"/>
      <c r="S23" s="111"/>
      <c r="T23" s="111"/>
      <c r="U23" s="111"/>
      <c r="V23" s="112"/>
      <c r="W23" s="112"/>
      <c r="X23" s="112"/>
      <c r="Y23" s="112"/>
      <c r="Z23" s="112"/>
      <c r="AA23" s="111"/>
      <c r="AB23" s="111"/>
      <c r="AC23" s="111"/>
      <c r="AD23" s="111"/>
      <c r="AE23" s="111"/>
      <c r="AF23" s="112"/>
      <c r="AG23" s="112"/>
      <c r="AH23" s="112"/>
      <c r="AI23" s="112"/>
      <c r="AJ23" s="112"/>
      <c r="AK23" s="111"/>
      <c r="AL23" s="111"/>
      <c r="AM23" s="111"/>
      <c r="AN23" s="111"/>
      <c r="AO23" s="111"/>
      <c r="AP23" s="112"/>
      <c r="AQ23" s="112"/>
      <c r="AR23" s="112"/>
      <c r="AS23" s="112"/>
      <c r="AT23" s="112"/>
      <c r="AU23" s="112"/>
      <c r="AV23" s="112"/>
      <c r="AW23" s="112"/>
      <c r="AX23" s="112"/>
      <c r="AY23" s="113"/>
    </row>
    <row r="24" spans="1:51" x14ac:dyDescent="0.3">
      <c r="A24" s="114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0"/>
      <c r="M24" s="110"/>
      <c r="N24" s="110"/>
      <c r="O24" s="110"/>
      <c r="P24" s="110"/>
      <c r="Q24" s="11"/>
      <c r="R24" s="11"/>
      <c r="S24" s="11"/>
      <c r="T24" s="11"/>
      <c r="U24" s="11"/>
      <c r="V24" s="110"/>
      <c r="W24" s="110"/>
      <c r="X24" s="110"/>
      <c r="Y24" s="110"/>
      <c r="Z24" s="110"/>
      <c r="AA24" s="11"/>
      <c r="AB24" s="11"/>
      <c r="AC24" s="11"/>
      <c r="AD24" s="11"/>
      <c r="AE24" s="11"/>
      <c r="AF24" s="110"/>
      <c r="AG24" s="110"/>
      <c r="AH24" s="110"/>
      <c r="AI24" s="110"/>
      <c r="AJ24" s="110"/>
      <c r="AK24" s="11"/>
      <c r="AL24" s="11"/>
      <c r="AM24" s="11"/>
      <c r="AN24" s="11"/>
      <c r="AO24" s="11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</row>
    <row r="25" spans="1:51" x14ac:dyDescent="0.3">
      <c r="A25" s="32" t="s">
        <v>347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2"/>
      <c r="M25" s="112"/>
      <c r="N25" s="112"/>
      <c r="O25" s="112"/>
      <c r="P25" s="112"/>
      <c r="Q25" s="111"/>
      <c r="R25" s="111"/>
      <c r="S25" s="111"/>
      <c r="T25" s="111"/>
      <c r="U25" s="111"/>
      <c r="V25" s="112"/>
      <c r="W25" s="112"/>
      <c r="X25" s="112"/>
      <c r="Y25" s="112"/>
      <c r="Z25" s="112"/>
      <c r="AA25" s="111"/>
      <c r="AB25" s="111"/>
      <c r="AC25" s="111"/>
      <c r="AD25" s="111"/>
      <c r="AE25" s="111"/>
      <c r="AF25" s="112"/>
      <c r="AG25" s="112"/>
      <c r="AH25" s="112"/>
      <c r="AI25" s="112"/>
      <c r="AJ25" s="112"/>
      <c r="AK25" s="111"/>
      <c r="AL25" s="111"/>
      <c r="AM25" s="111"/>
      <c r="AN25" s="111"/>
      <c r="AO25" s="111"/>
      <c r="AP25" s="112"/>
      <c r="AQ25" s="112"/>
      <c r="AR25" s="112"/>
      <c r="AS25" s="112"/>
      <c r="AT25" s="112"/>
      <c r="AU25" s="112"/>
      <c r="AV25" s="112"/>
      <c r="AW25" s="112"/>
      <c r="AX25" s="112"/>
      <c r="AY25" s="113"/>
    </row>
    <row r="26" spans="1:51" x14ac:dyDescent="0.3">
      <c r="AP26" s="2"/>
      <c r="AQ26" s="2"/>
      <c r="AR26" s="2"/>
      <c r="AS26" s="2"/>
      <c r="AT26" s="2"/>
      <c r="AU26" s="2"/>
      <c r="AV26" s="2"/>
      <c r="AW26" s="2"/>
      <c r="AX26" s="2"/>
      <c r="AY26" s="2"/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</sheetPr>
  <dimension ref="A1:R30"/>
  <sheetViews>
    <sheetView tabSelected="1" zoomScale="90" zoomScaleNormal="90" workbookViewId="0">
      <selection activeCell="A20" sqref="A20:XFD20"/>
    </sheetView>
  </sheetViews>
  <sheetFormatPr defaultRowHeight="14.4" x14ac:dyDescent="0.3"/>
  <cols>
    <col min="1" max="1" width="25" customWidth="1"/>
    <col min="2" max="2" width="11.44140625" customWidth="1"/>
    <col min="3" max="5" width="11.88671875" customWidth="1"/>
    <col min="6" max="7" width="12.88671875" customWidth="1"/>
    <col min="8" max="10" width="11.88671875" customWidth="1"/>
    <col min="11" max="11" width="13" customWidth="1"/>
    <col min="12" max="12" width="10.109375" customWidth="1"/>
    <col min="13" max="13" width="11.88671875" customWidth="1"/>
    <col min="14" max="16" width="13" customWidth="1"/>
    <col min="17" max="17" width="32.33203125" customWidth="1"/>
  </cols>
  <sheetData>
    <row r="1" spans="1:18" x14ac:dyDescent="0.3">
      <c r="A1" s="160" t="s">
        <v>24</v>
      </c>
      <c r="B1" s="161" t="s">
        <v>25</v>
      </c>
      <c r="C1" s="161" t="s">
        <v>252</v>
      </c>
      <c r="D1" s="161" t="s">
        <v>253</v>
      </c>
      <c r="E1" s="161" t="s">
        <v>254</v>
      </c>
      <c r="F1" s="161" t="s">
        <v>255</v>
      </c>
      <c r="G1" s="161" t="s">
        <v>26</v>
      </c>
      <c r="H1" s="161" t="s">
        <v>256</v>
      </c>
      <c r="I1" s="161" t="s">
        <v>257</v>
      </c>
      <c r="J1" s="161" t="s">
        <v>258</v>
      </c>
      <c r="K1" s="161" t="s">
        <v>259</v>
      </c>
      <c r="L1" s="161" t="s">
        <v>27</v>
      </c>
      <c r="M1" s="162" t="s">
        <v>260</v>
      </c>
      <c r="N1" s="162" t="s">
        <v>261</v>
      </c>
      <c r="O1" s="162" t="s">
        <v>262</v>
      </c>
      <c r="P1" s="162" t="s">
        <v>263</v>
      </c>
      <c r="Q1" s="180" t="s">
        <v>28</v>
      </c>
      <c r="R1" s="46"/>
    </row>
    <row r="2" spans="1:18" ht="55.5" customHeight="1" x14ac:dyDescent="0.3">
      <c r="A2" s="132" t="s">
        <v>18</v>
      </c>
      <c r="B2" s="133" t="s">
        <v>35</v>
      </c>
      <c r="C2" s="134"/>
      <c r="D2" s="134"/>
      <c r="E2" s="134"/>
      <c r="F2" s="132"/>
      <c r="G2" s="133" t="s">
        <v>33</v>
      </c>
      <c r="H2" s="134"/>
      <c r="I2" s="134"/>
      <c r="J2" s="134"/>
      <c r="K2" s="132"/>
      <c r="L2" s="133" t="s">
        <v>36</v>
      </c>
      <c r="M2" s="134"/>
      <c r="N2" s="134"/>
      <c r="O2" s="134"/>
      <c r="P2" s="134"/>
      <c r="Q2" s="181" t="s">
        <v>39</v>
      </c>
      <c r="R2" s="46"/>
    </row>
    <row r="3" spans="1:18" ht="15" customHeight="1" x14ac:dyDescent="0.3">
      <c r="A3" s="132"/>
      <c r="B3" s="135" t="s">
        <v>19</v>
      </c>
      <c r="C3" s="135" t="s">
        <v>19</v>
      </c>
      <c r="D3" s="135" t="s">
        <v>19</v>
      </c>
      <c r="E3" s="92" t="s">
        <v>19</v>
      </c>
      <c r="F3" s="94" t="s">
        <v>19</v>
      </c>
      <c r="G3" s="94" t="s">
        <v>19</v>
      </c>
      <c r="H3" s="94" t="s">
        <v>19</v>
      </c>
      <c r="I3" s="94" t="s">
        <v>19</v>
      </c>
      <c r="J3" s="94" t="s">
        <v>19</v>
      </c>
      <c r="K3" s="94" t="s">
        <v>19</v>
      </c>
      <c r="L3" s="94" t="s">
        <v>19</v>
      </c>
      <c r="M3" s="94" t="s">
        <v>19</v>
      </c>
      <c r="N3" s="94" t="s">
        <v>19</v>
      </c>
      <c r="O3" s="94" t="s">
        <v>19</v>
      </c>
      <c r="P3" s="93" t="s">
        <v>19</v>
      </c>
      <c r="Q3" s="92" t="s">
        <v>19</v>
      </c>
      <c r="R3" s="46"/>
    </row>
    <row r="4" spans="1:18" s="1" customFormat="1" x14ac:dyDescent="0.3">
      <c r="A4" s="132"/>
      <c r="B4" s="137">
        <v>2015</v>
      </c>
      <c r="C4" s="137">
        <v>2016</v>
      </c>
      <c r="D4" s="137">
        <v>2017</v>
      </c>
      <c r="E4" s="138">
        <v>2018</v>
      </c>
      <c r="F4" s="182" t="s">
        <v>34</v>
      </c>
      <c r="G4" s="98">
        <v>2015</v>
      </c>
      <c r="H4" s="98">
        <v>2016</v>
      </c>
      <c r="I4" s="98">
        <v>2017</v>
      </c>
      <c r="J4" s="98">
        <v>2018</v>
      </c>
      <c r="K4" s="182" t="s">
        <v>34</v>
      </c>
      <c r="L4" s="98">
        <v>2015</v>
      </c>
      <c r="M4" s="98">
        <v>2016</v>
      </c>
      <c r="N4" s="98">
        <v>2017</v>
      </c>
      <c r="O4" s="98">
        <v>2018</v>
      </c>
      <c r="P4" s="182">
        <v>2019</v>
      </c>
      <c r="Q4" s="98">
        <v>2020</v>
      </c>
      <c r="R4" s="167"/>
    </row>
    <row r="5" spans="1:18" x14ac:dyDescent="0.3">
      <c r="A5" s="139" t="s">
        <v>1</v>
      </c>
      <c r="B5" s="45">
        <v>335353</v>
      </c>
      <c r="C5" s="45">
        <v>327655</v>
      </c>
      <c r="D5" s="45">
        <v>350356</v>
      </c>
      <c r="E5" s="168">
        <v>363722</v>
      </c>
      <c r="F5" s="168">
        <v>275728</v>
      </c>
      <c r="G5" s="168">
        <v>272779</v>
      </c>
      <c r="H5" s="168">
        <v>277283</v>
      </c>
      <c r="I5" s="168">
        <v>272208</v>
      </c>
      <c r="J5" s="168">
        <v>297859</v>
      </c>
      <c r="K5" s="168">
        <v>140777</v>
      </c>
      <c r="L5" s="168">
        <f>B5-G5</f>
        <v>62574</v>
      </c>
      <c r="M5" s="168">
        <f>C5-H5</f>
        <v>50372</v>
      </c>
      <c r="N5" s="168">
        <f>D5-I5</f>
        <v>78148</v>
      </c>
      <c r="O5" s="168">
        <f>E5-J5</f>
        <v>65863</v>
      </c>
      <c r="P5" s="183">
        <f>F5-K5</f>
        <v>134951</v>
      </c>
      <c r="Q5" s="169">
        <f>AVERAGE(L5:P5)</f>
        <v>78381.600000000006</v>
      </c>
      <c r="R5" s="46"/>
    </row>
    <row r="6" spans="1:18" x14ac:dyDescent="0.3">
      <c r="A6" s="139" t="s">
        <v>2</v>
      </c>
      <c r="B6" s="45">
        <v>28239</v>
      </c>
      <c r="C6" s="45">
        <v>26953</v>
      </c>
      <c r="D6" s="45">
        <v>29846</v>
      </c>
      <c r="E6" s="168">
        <v>30328</v>
      </c>
      <c r="F6" s="168">
        <v>22892</v>
      </c>
      <c r="G6" s="168">
        <v>22520</v>
      </c>
      <c r="H6" s="168">
        <v>23223</v>
      </c>
      <c r="I6" s="168">
        <v>21967</v>
      </c>
      <c r="J6" s="168">
        <v>23383</v>
      </c>
      <c r="K6" s="168">
        <v>11058</v>
      </c>
      <c r="L6" s="168">
        <f t="shared" ref="L6:L21" si="0">B6-G6</f>
        <v>5719</v>
      </c>
      <c r="M6" s="168">
        <f t="shared" ref="M6:M21" si="1">C6-H6</f>
        <v>3730</v>
      </c>
      <c r="N6" s="168">
        <f t="shared" ref="N6:N21" si="2">D6-I6</f>
        <v>7879</v>
      </c>
      <c r="O6" s="168">
        <f t="shared" ref="O6:O21" si="3">E6-J6</f>
        <v>6945</v>
      </c>
      <c r="P6" s="183">
        <f t="shared" ref="P6:P21" si="4">F6-K6</f>
        <v>11834</v>
      </c>
      <c r="Q6" s="169">
        <f t="shared" ref="Q6:Q21" si="5">AVERAGE(L6:P6)</f>
        <v>7221.4</v>
      </c>
      <c r="R6" s="46"/>
    </row>
    <row r="7" spans="1:18" x14ac:dyDescent="0.3">
      <c r="A7" s="139" t="s">
        <v>3</v>
      </c>
      <c r="B7" s="45">
        <v>15944</v>
      </c>
      <c r="C7" s="45">
        <v>15026</v>
      </c>
      <c r="D7" s="45">
        <v>15965</v>
      </c>
      <c r="E7" s="168">
        <v>17194</v>
      </c>
      <c r="F7" s="168">
        <v>12859</v>
      </c>
      <c r="G7" s="168">
        <v>14408</v>
      </c>
      <c r="H7" s="168">
        <v>14254</v>
      </c>
      <c r="I7" s="168">
        <v>13801</v>
      </c>
      <c r="J7" s="168">
        <v>14602</v>
      </c>
      <c r="K7" s="168">
        <v>7066</v>
      </c>
      <c r="L7" s="168">
        <f t="shared" si="0"/>
        <v>1536</v>
      </c>
      <c r="M7" s="168">
        <f t="shared" si="1"/>
        <v>772</v>
      </c>
      <c r="N7" s="168">
        <f t="shared" si="2"/>
        <v>2164</v>
      </c>
      <c r="O7" s="168">
        <f t="shared" si="3"/>
        <v>2592</v>
      </c>
      <c r="P7" s="183">
        <f t="shared" si="4"/>
        <v>5793</v>
      </c>
      <c r="Q7" s="169">
        <f t="shared" si="5"/>
        <v>2571.4</v>
      </c>
      <c r="R7" s="46"/>
    </row>
    <row r="8" spans="1:18" x14ac:dyDescent="0.3">
      <c r="A8" s="139" t="s">
        <v>4</v>
      </c>
      <c r="B8" s="45">
        <v>13562</v>
      </c>
      <c r="C8" s="45">
        <v>13357</v>
      </c>
      <c r="D8" s="45">
        <v>15496</v>
      </c>
      <c r="E8" s="168">
        <v>16417</v>
      </c>
      <c r="F8" s="168">
        <v>11913</v>
      </c>
      <c r="G8" s="168">
        <v>11573</v>
      </c>
      <c r="H8" s="168">
        <v>11951</v>
      </c>
      <c r="I8" s="168">
        <v>11735</v>
      </c>
      <c r="J8" s="168">
        <v>12279</v>
      </c>
      <c r="K8" s="168">
        <v>6784</v>
      </c>
      <c r="L8" s="168">
        <f t="shared" si="0"/>
        <v>1989</v>
      </c>
      <c r="M8" s="168">
        <f t="shared" si="1"/>
        <v>1406</v>
      </c>
      <c r="N8" s="168">
        <f t="shared" si="2"/>
        <v>3761</v>
      </c>
      <c r="O8" s="168">
        <f t="shared" si="3"/>
        <v>4138</v>
      </c>
      <c r="P8" s="183">
        <f t="shared" si="4"/>
        <v>5129</v>
      </c>
      <c r="Q8" s="169">
        <f t="shared" si="5"/>
        <v>3284.6</v>
      </c>
      <c r="R8" s="46"/>
    </row>
    <row r="9" spans="1:18" x14ac:dyDescent="0.3">
      <c r="A9" s="139" t="s">
        <v>5</v>
      </c>
      <c r="B9" s="45">
        <v>8971</v>
      </c>
      <c r="C9" s="45">
        <v>8676</v>
      </c>
      <c r="D9" s="45">
        <v>9172</v>
      </c>
      <c r="E9" s="168">
        <v>9664</v>
      </c>
      <c r="F9" s="168">
        <v>7755</v>
      </c>
      <c r="G9" s="168">
        <v>7865</v>
      </c>
      <c r="H9" s="168">
        <v>8165</v>
      </c>
      <c r="I9" s="168">
        <v>7826</v>
      </c>
      <c r="J9" s="168">
        <v>8853</v>
      </c>
      <c r="K9" s="168">
        <v>3983</v>
      </c>
      <c r="L9" s="168">
        <f t="shared" si="0"/>
        <v>1106</v>
      </c>
      <c r="M9" s="168">
        <f t="shared" si="1"/>
        <v>511</v>
      </c>
      <c r="N9" s="168">
        <f t="shared" si="2"/>
        <v>1346</v>
      </c>
      <c r="O9" s="168">
        <f t="shared" si="3"/>
        <v>811</v>
      </c>
      <c r="P9" s="183">
        <f t="shared" si="4"/>
        <v>3772</v>
      </c>
      <c r="Q9" s="169">
        <f t="shared" si="5"/>
        <v>1509.2</v>
      </c>
      <c r="R9" s="46"/>
    </row>
    <row r="10" spans="1:18" x14ac:dyDescent="0.3">
      <c r="A10" s="139" t="s">
        <v>6</v>
      </c>
      <c r="B10" s="45">
        <v>19040</v>
      </c>
      <c r="C10" s="45">
        <v>19137</v>
      </c>
      <c r="D10" s="45">
        <v>19714</v>
      </c>
      <c r="E10" s="168">
        <v>19914</v>
      </c>
      <c r="F10" s="168">
        <v>15440</v>
      </c>
      <c r="G10" s="168">
        <v>16750</v>
      </c>
      <c r="H10" s="168">
        <v>17155</v>
      </c>
      <c r="I10" s="168">
        <v>16499</v>
      </c>
      <c r="J10" s="168">
        <v>17292</v>
      </c>
      <c r="K10" s="168">
        <v>8737</v>
      </c>
      <c r="L10" s="168">
        <f t="shared" si="0"/>
        <v>2290</v>
      </c>
      <c r="M10" s="168">
        <f t="shared" si="1"/>
        <v>1982</v>
      </c>
      <c r="N10" s="168">
        <f t="shared" si="2"/>
        <v>3215</v>
      </c>
      <c r="O10" s="168">
        <f t="shared" si="3"/>
        <v>2622</v>
      </c>
      <c r="P10" s="183">
        <f t="shared" si="4"/>
        <v>6703</v>
      </c>
      <c r="Q10" s="169">
        <f t="shared" si="5"/>
        <v>3362.4</v>
      </c>
      <c r="R10" s="46"/>
    </row>
    <row r="11" spans="1:18" x14ac:dyDescent="0.3">
      <c r="A11" s="139" t="s">
        <v>7</v>
      </c>
      <c r="B11" s="45">
        <v>31335</v>
      </c>
      <c r="C11" s="45">
        <v>30737</v>
      </c>
      <c r="D11" s="45">
        <v>33133</v>
      </c>
      <c r="E11" s="168">
        <v>34896</v>
      </c>
      <c r="F11" s="168">
        <v>27438</v>
      </c>
      <c r="G11" s="168">
        <v>24383</v>
      </c>
      <c r="H11" s="168">
        <v>24123</v>
      </c>
      <c r="I11" s="168">
        <v>24014</v>
      </c>
      <c r="J11" s="168">
        <v>23362</v>
      </c>
      <c r="K11" s="168">
        <v>12404</v>
      </c>
      <c r="L11" s="168">
        <f t="shared" si="0"/>
        <v>6952</v>
      </c>
      <c r="M11" s="168">
        <f t="shared" si="1"/>
        <v>6614</v>
      </c>
      <c r="N11" s="168">
        <f t="shared" si="2"/>
        <v>9119</v>
      </c>
      <c r="O11" s="168">
        <f t="shared" si="3"/>
        <v>11534</v>
      </c>
      <c r="P11" s="183">
        <f t="shared" si="4"/>
        <v>15034</v>
      </c>
      <c r="Q11" s="169">
        <f t="shared" si="5"/>
        <v>9850.6</v>
      </c>
      <c r="R11" s="46"/>
    </row>
    <row r="12" spans="1:18" x14ac:dyDescent="0.3">
      <c r="A12" s="139" t="s">
        <v>8</v>
      </c>
      <c r="B12" s="45">
        <v>63719</v>
      </c>
      <c r="C12" s="45">
        <v>63650</v>
      </c>
      <c r="D12" s="45">
        <v>65295</v>
      </c>
      <c r="E12" s="168">
        <v>67687</v>
      </c>
      <c r="F12" s="168">
        <v>50675</v>
      </c>
      <c r="G12" s="168">
        <v>42450</v>
      </c>
      <c r="H12" s="168">
        <v>44265</v>
      </c>
      <c r="I12" s="168">
        <v>44181</v>
      </c>
      <c r="J12" s="168">
        <v>59680</v>
      </c>
      <c r="K12" s="168">
        <v>23022</v>
      </c>
      <c r="L12" s="168">
        <f t="shared" si="0"/>
        <v>21269</v>
      </c>
      <c r="M12" s="168">
        <f t="shared" si="1"/>
        <v>19385</v>
      </c>
      <c r="N12" s="168">
        <f t="shared" si="2"/>
        <v>21114</v>
      </c>
      <c r="O12" s="168">
        <f t="shared" si="3"/>
        <v>8007</v>
      </c>
      <c r="P12" s="183">
        <f t="shared" si="4"/>
        <v>27653</v>
      </c>
      <c r="Q12" s="169">
        <f t="shared" si="5"/>
        <v>19485.599999999999</v>
      </c>
      <c r="R12" s="46"/>
    </row>
    <row r="13" spans="1:18" x14ac:dyDescent="0.3">
      <c r="A13" s="139" t="s">
        <v>9</v>
      </c>
      <c r="B13" s="45">
        <v>6214</v>
      </c>
      <c r="C13" s="45">
        <v>5789</v>
      </c>
      <c r="D13" s="45">
        <v>6215</v>
      </c>
      <c r="E13" s="168">
        <v>6635</v>
      </c>
      <c r="F13" s="168">
        <v>5173</v>
      </c>
      <c r="G13" s="168">
        <v>5820</v>
      </c>
      <c r="H13" s="168">
        <v>5867</v>
      </c>
      <c r="I13" s="168">
        <v>5653</v>
      </c>
      <c r="J13" s="168">
        <v>5803</v>
      </c>
      <c r="K13" s="168">
        <v>2785</v>
      </c>
      <c r="L13" s="168">
        <f t="shared" si="0"/>
        <v>394</v>
      </c>
      <c r="M13" s="168">
        <f t="shared" si="1"/>
        <v>-78</v>
      </c>
      <c r="N13" s="168">
        <f t="shared" si="2"/>
        <v>562</v>
      </c>
      <c r="O13" s="168">
        <f t="shared" si="3"/>
        <v>832</v>
      </c>
      <c r="P13" s="183">
        <f t="shared" si="4"/>
        <v>2388</v>
      </c>
      <c r="Q13" s="169">
        <f t="shared" si="5"/>
        <v>819.6</v>
      </c>
      <c r="R13" s="46"/>
    </row>
    <row r="14" spans="1:18" x14ac:dyDescent="0.3">
      <c r="A14" s="139" t="s">
        <v>10</v>
      </c>
      <c r="B14" s="45">
        <v>13246</v>
      </c>
      <c r="C14" s="45">
        <v>13499</v>
      </c>
      <c r="D14" s="45">
        <v>15070</v>
      </c>
      <c r="E14" s="168">
        <v>14917</v>
      </c>
      <c r="F14" s="168">
        <v>11067</v>
      </c>
      <c r="G14" s="168">
        <v>10417</v>
      </c>
      <c r="H14" s="168">
        <v>10797</v>
      </c>
      <c r="I14" s="168">
        <v>11414</v>
      </c>
      <c r="J14" s="168">
        <v>10808</v>
      </c>
      <c r="K14" s="168">
        <v>5438</v>
      </c>
      <c r="L14" s="168">
        <f t="shared" si="0"/>
        <v>2829</v>
      </c>
      <c r="M14" s="168">
        <f t="shared" si="1"/>
        <v>2702</v>
      </c>
      <c r="N14" s="168">
        <f t="shared" si="2"/>
        <v>3656</v>
      </c>
      <c r="O14" s="168">
        <f t="shared" si="3"/>
        <v>4109</v>
      </c>
      <c r="P14" s="183">
        <f t="shared" si="4"/>
        <v>5629</v>
      </c>
      <c r="Q14" s="169">
        <f t="shared" si="5"/>
        <v>3785</v>
      </c>
      <c r="R14" s="46"/>
    </row>
    <row r="15" spans="1:18" x14ac:dyDescent="0.3">
      <c r="A15" s="139" t="s">
        <v>11</v>
      </c>
      <c r="B15" s="45">
        <v>7918</v>
      </c>
      <c r="C15" s="45">
        <v>7574</v>
      </c>
      <c r="D15" s="45">
        <v>8231</v>
      </c>
      <c r="E15" s="168">
        <v>9029</v>
      </c>
      <c r="F15" s="168">
        <v>7120</v>
      </c>
      <c r="G15" s="168">
        <v>6657</v>
      </c>
      <c r="H15" s="168">
        <v>6663</v>
      </c>
      <c r="I15" s="168">
        <v>6575</v>
      </c>
      <c r="J15" s="168">
        <v>6463</v>
      </c>
      <c r="K15" s="168">
        <v>3424</v>
      </c>
      <c r="L15" s="168">
        <f t="shared" si="0"/>
        <v>1261</v>
      </c>
      <c r="M15" s="168">
        <f t="shared" si="1"/>
        <v>911</v>
      </c>
      <c r="N15" s="168">
        <f t="shared" si="2"/>
        <v>1656</v>
      </c>
      <c r="O15" s="168">
        <f t="shared" si="3"/>
        <v>2566</v>
      </c>
      <c r="P15" s="183">
        <f t="shared" si="4"/>
        <v>3696</v>
      </c>
      <c r="Q15" s="169">
        <f t="shared" si="5"/>
        <v>2018</v>
      </c>
      <c r="R15" s="46"/>
    </row>
    <row r="16" spans="1:18" x14ac:dyDescent="0.3">
      <c r="A16" s="139" t="s">
        <v>12</v>
      </c>
      <c r="B16" s="45">
        <v>24754</v>
      </c>
      <c r="C16" s="45">
        <v>24374</v>
      </c>
      <c r="D16" s="45">
        <v>26964</v>
      </c>
      <c r="E16" s="168">
        <v>27457</v>
      </c>
      <c r="F16" s="168">
        <v>20309</v>
      </c>
      <c r="G16" s="168">
        <v>19408</v>
      </c>
      <c r="H16" s="168">
        <v>19842</v>
      </c>
      <c r="I16" s="168">
        <v>20075</v>
      </c>
      <c r="J16" s="168">
        <v>23767</v>
      </c>
      <c r="K16" s="168">
        <v>11351</v>
      </c>
      <c r="L16" s="168">
        <f t="shared" si="0"/>
        <v>5346</v>
      </c>
      <c r="M16" s="168">
        <f t="shared" si="1"/>
        <v>4532</v>
      </c>
      <c r="N16" s="168">
        <f t="shared" si="2"/>
        <v>6889</v>
      </c>
      <c r="O16" s="168">
        <f t="shared" si="3"/>
        <v>3690</v>
      </c>
      <c r="P16" s="183">
        <f t="shared" si="4"/>
        <v>8958</v>
      </c>
      <c r="Q16" s="169">
        <f t="shared" si="5"/>
        <v>5883</v>
      </c>
      <c r="R16" s="46"/>
    </row>
    <row r="17" spans="1:18" x14ac:dyDescent="0.3">
      <c r="A17" s="139" t="s">
        <v>13</v>
      </c>
      <c r="B17" s="45">
        <v>33785</v>
      </c>
      <c r="C17" s="45">
        <v>32448</v>
      </c>
      <c r="D17" s="45">
        <v>33928</v>
      </c>
      <c r="E17" s="168">
        <v>34980</v>
      </c>
      <c r="F17" s="168">
        <v>26730</v>
      </c>
      <c r="G17" s="168">
        <v>29861</v>
      </c>
      <c r="H17" s="168">
        <v>30968</v>
      </c>
      <c r="I17" s="168">
        <v>30245</v>
      </c>
      <c r="J17" s="168">
        <v>31222</v>
      </c>
      <c r="K17" s="168">
        <v>14939</v>
      </c>
      <c r="L17" s="168">
        <f t="shared" si="0"/>
        <v>3924</v>
      </c>
      <c r="M17" s="168">
        <f t="shared" si="1"/>
        <v>1480</v>
      </c>
      <c r="N17" s="168">
        <f t="shared" si="2"/>
        <v>3683</v>
      </c>
      <c r="O17" s="168">
        <f t="shared" si="3"/>
        <v>3758</v>
      </c>
      <c r="P17" s="183">
        <f t="shared" si="4"/>
        <v>11791</v>
      </c>
      <c r="Q17" s="169">
        <f t="shared" si="5"/>
        <v>4927.2</v>
      </c>
      <c r="R17" s="46"/>
    </row>
    <row r="18" spans="1:18" x14ac:dyDescent="0.3">
      <c r="A18" s="139" t="s">
        <v>14</v>
      </c>
      <c r="B18" s="45">
        <v>8275</v>
      </c>
      <c r="C18" s="45">
        <v>8590</v>
      </c>
      <c r="D18" s="45">
        <v>9371</v>
      </c>
      <c r="E18" s="168">
        <v>9683</v>
      </c>
      <c r="F18" s="168">
        <v>6803</v>
      </c>
      <c r="G18" s="168">
        <v>7733</v>
      </c>
      <c r="H18" s="168">
        <v>7865</v>
      </c>
      <c r="I18" s="168">
        <v>7890</v>
      </c>
      <c r="J18" s="168">
        <v>7787</v>
      </c>
      <c r="K18" s="168">
        <v>4196</v>
      </c>
      <c r="L18" s="168">
        <f t="shared" si="0"/>
        <v>542</v>
      </c>
      <c r="M18" s="168">
        <f t="shared" si="1"/>
        <v>725</v>
      </c>
      <c r="N18" s="168">
        <f t="shared" si="2"/>
        <v>1481</v>
      </c>
      <c r="O18" s="168">
        <f t="shared" si="3"/>
        <v>1896</v>
      </c>
      <c r="P18" s="183">
        <f t="shared" si="4"/>
        <v>2607</v>
      </c>
      <c r="Q18" s="169">
        <f t="shared" si="5"/>
        <v>1450.2</v>
      </c>
      <c r="R18" s="46"/>
    </row>
    <row r="19" spans="1:18" x14ac:dyDescent="0.3">
      <c r="A19" s="139" t="s">
        <v>15</v>
      </c>
      <c r="B19" s="45">
        <v>9717</v>
      </c>
      <c r="C19" s="45">
        <v>9577</v>
      </c>
      <c r="D19" s="45">
        <v>10346</v>
      </c>
      <c r="E19" s="168">
        <v>11218</v>
      </c>
      <c r="F19" s="168">
        <v>8572</v>
      </c>
      <c r="G19" s="168">
        <v>9047</v>
      </c>
      <c r="H19" s="168">
        <v>9120</v>
      </c>
      <c r="I19" s="168">
        <v>8919</v>
      </c>
      <c r="J19" s="168">
        <v>8865</v>
      </c>
      <c r="K19" s="168">
        <v>4483</v>
      </c>
      <c r="L19" s="168">
        <f t="shared" si="0"/>
        <v>670</v>
      </c>
      <c r="M19" s="168">
        <f t="shared" si="1"/>
        <v>457</v>
      </c>
      <c r="N19" s="168">
        <f t="shared" si="2"/>
        <v>1427</v>
      </c>
      <c r="O19" s="168">
        <f t="shared" si="3"/>
        <v>2353</v>
      </c>
      <c r="P19" s="183">
        <f t="shared" si="4"/>
        <v>4089</v>
      </c>
      <c r="Q19" s="169">
        <f t="shared" si="5"/>
        <v>1799.2</v>
      </c>
      <c r="R19" s="46"/>
    </row>
    <row r="20" spans="1:18" x14ac:dyDescent="0.3">
      <c r="A20" s="139" t="s">
        <v>16</v>
      </c>
      <c r="B20" s="45">
        <v>33093</v>
      </c>
      <c r="C20" s="45">
        <v>31510</v>
      </c>
      <c r="D20" s="45">
        <v>33712</v>
      </c>
      <c r="E20" s="168">
        <v>35715</v>
      </c>
      <c r="F20" s="168">
        <v>26630</v>
      </c>
      <c r="G20" s="168">
        <v>27766</v>
      </c>
      <c r="H20" s="168">
        <v>26790</v>
      </c>
      <c r="I20" s="168">
        <v>25730</v>
      </c>
      <c r="J20" s="168">
        <v>27446</v>
      </c>
      <c r="K20" s="168">
        <v>13024</v>
      </c>
      <c r="L20" s="168">
        <f t="shared" si="0"/>
        <v>5327</v>
      </c>
      <c r="M20" s="168">
        <f t="shared" si="1"/>
        <v>4720</v>
      </c>
      <c r="N20" s="168">
        <f t="shared" si="2"/>
        <v>7982</v>
      </c>
      <c r="O20" s="168">
        <f t="shared" si="3"/>
        <v>8269</v>
      </c>
      <c r="P20" s="183">
        <f t="shared" si="4"/>
        <v>13606</v>
      </c>
      <c r="Q20" s="169">
        <f t="shared" si="5"/>
        <v>7980.8</v>
      </c>
      <c r="R20" s="46"/>
    </row>
    <row r="21" spans="1:18" x14ac:dyDescent="0.3">
      <c r="A21" s="141" t="s">
        <v>17</v>
      </c>
      <c r="B21" s="48">
        <v>17526</v>
      </c>
      <c r="C21" s="48">
        <v>16752</v>
      </c>
      <c r="D21" s="48">
        <v>17891</v>
      </c>
      <c r="E21" s="170">
        <v>17844</v>
      </c>
      <c r="F21" s="170">
        <v>14158</v>
      </c>
      <c r="G21" s="170">
        <v>16117</v>
      </c>
      <c r="H21" s="170">
        <v>16191</v>
      </c>
      <c r="I21" s="170">
        <v>15632</v>
      </c>
      <c r="J21" s="170">
        <v>16211</v>
      </c>
      <c r="K21" s="170">
        <v>8025</v>
      </c>
      <c r="L21" s="170">
        <f t="shared" si="0"/>
        <v>1409</v>
      </c>
      <c r="M21" s="170">
        <f t="shared" si="1"/>
        <v>561</v>
      </c>
      <c r="N21" s="170">
        <f t="shared" si="2"/>
        <v>2259</v>
      </c>
      <c r="O21" s="170">
        <f t="shared" si="3"/>
        <v>1633</v>
      </c>
      <c r="P21" s="184">
        <f t="shared" si="4"/>
        <v>6133</v>
      </c>
      <c r="Q21" s="184">
        <f t="shared" si="5"/>
        <v>2399</v>
      </c>
      <c r="R21" s="46"/>
    </row>
    <row r="22" spans="1:18" x14ac:dyDescent="0.3">
      <c r="A22" s="172"/>
      <c r="B22" s="13"/>
      <c r="C22" s="13"/>
      <c r="D22" s="13"/>
      <c r="E22" s="173"/>
      <c r="F22" s="173"/>
      <c r="G22" s="173"/>
      <c r="H22" s="173"/>
      <c r="I22" s="173"/>
      <c r="J22" s="173"/>
      <c r="K22" s="173"/>
      <c r="L22" s="173"/>
      <c r="M22" s="173"/>
      <c r="N22" s="173"/>
      <c r="O22" s="173"/>
      <c r="P22" s="185"/>
      <c r="Q22" s="185"/>
      <c r="R22" s="46"/>
    </row>
    <row r="23" spans="1:18" x14ac:dyDescent="0.3">
      <c r="A23" s="2"/>
      <c r="B23" s="11"/>
      <c r="C23" s="11"/>
      <c r="D23" s="11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6"/>
      <c r="Q23" s="156"/>
    </row>
    <row r="24" spans="1:18" x14ac:dyDescent="0.3">
      <c r="A24" s="32" t="s">
        <v>348</v>
      </c>
      <c r="B24" s="111"/>
      <c r="C24" s="111"/>
      <c r="D24" s="111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8"/>
      <c r="Q24" s="159"/>
    </row>
    <row r="25" spans="1:18" x14ac:dyDescent="0.3">
      <c r="A25" s="2"/>
      <c r="B25" s="11"/>
      <c r="C25" s="11"/>
      <c r="D25" s="11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6"/>
      <c r="Q25" s="156"/>
    </row>
    <row r="26" spans="1:18" x14ac:dyDescent="0.3">
      <c r="A26" s="32" t="s">
        <v>349</v>
      </c>
      <c r="B26" s="111"/>
      <c r="C26" s="111"/>
      <c r="D26" s="111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8"/>
      <c r="Q26" s="159"/>
    </row>
    <row r="27" spans="1:18" x14ac:dyDescent="0.3">
      <c r="A27" s="114"/>
      <c r="B27" s="11"/>
      <c r="C27" s="11"/>
      <c r="D27" s="11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6"/>
      <c r="Q27" s="156"/>
    </row>
    <row r="28" spans="1:18" x14ac:dyDescent="0.3">
      <c r="A28" s="32" t="s">
        <v>350</v>
      </c>
      <c r="B28" s="111"/>
      <c r="C28" s="111"/>
      <c r="D28" s="111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8"/>
      <c r="Q28" s="159"/>
    </row>
    <row r="29" spans="1:18" x14ac:dyDescent="0.3">
      <c r="A29" s="114"/>
      <c r="B29" s="11"/>
      <c r="C29" s="11"/>
      <c r="D29" s="11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6"/>
      <c r="Q29" s="156"/>
    </row>
    <row r="30" spans="1:18" x14ac:dyDescent="0.3">
      <c r="A30" s="32" t="s">
        <v>351</v>
      </c>
      <c r="B30" s="111"/>
      <c r="C30" s="111"/>
      <c r="D30" s="111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8"/>
      <c r="Q30" s="159"/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70C0"/>
  </sheetPr>
  <dimension ref="A1:Z27"/>
  <sheetViews>
    <sheetView topLeftCell="I1" zoomScale="90" zoomScaleNormal="90" workbookViewId="0">
      <selection activeCell="Y12" sqref="Y12"/>
    </sheetView>
  </sheetViews>
  <sheetFormatPr defaultRowHeight="14.4" x14ac:dyDescent="0.3"/>
  <cols>
    <col min="1" max="1" width="25" customWidth="1"/>
    <col min="2" max="2" width="10.33203125" customWidth="1"/>
    <col min="3" max="3" width="14.109375" customWidth="1"/>
    <col min="4" max="7" width="11.88671875" customWidth="1"/>
    <col min="8" max="8" width="11" customWidth="1"/>
    <col min="9" max="9" width="13.33203125" customWidth="1"/>
    <col min="10" max="12" width="11.88671875" customWidth="1"/>
    <col min="13" max="13" width="13" customWidth="1"/>
    <col min="14" max="14" width="10.109375" customWidth="1"/>
    <col min="15" max="19" width="13" customWidth="1"/>
    <col min="20" max="20" width="14.6640625" customWidth="1"/>
    <col min="21" max="21" width="13" customWidth="1"/>
    <col min="22" max="22" width="13.6640625" customWidth="1"/>
    <col min="23" max="25" width="13" customWidth="1"/>
  </cols>
  <sheetData>
    <row r="1" spans="1:26" x14ac:dyDescent="0.3">
      <c r="A1" s="160" t="s">
        <v>24</v>
      </c>
      <c r="B1" s="161" t="s">
        <v>25</v>
      </c>
      <c r="C1" s="161" t="s">
        <v>252</v>
      </c>
      <c r="D1" s="162" t="s">
        <v>253</v>
      </c>
      <c r="E1" s="162" t="s">
        <v>254</v>
      </c>
      <c r="F1" s="162" t="s">
        <v>255</v>
      </c>
      <c r="G1" s="162" t="s">
        <v>256</v>
      </c>
      <c r="H1" s="163" t="s">
        <v>26</v>
      </c>
      <c r="I1" s="163" t="s">
        <v>257</v>
      </c>
      <c r="J1" s="164" t="s">
        <v>258</v>
      </c>
      <c r="K1" s="164" t="s">
        <v>259</v>
      </c>
      <c r="L1" s="164" t="s">
        <v>260</v>
      </c>
      <c r="M1" s="165" t="s">
        <v>261</v>
      </c>
      <c r="N1" s="166" t="s">
        <v>27</v>
      </c>
      <c r="O1" s="164" t="s">
        <v>262</v>
      </c>
      <c r="P1" s="164" t="s">
        <v>263</v>
      </c>
      <c r="Q1" s="164" t="s">
        <v>264</v>
      </c>
      <c r="R1" s="165" t="s">
        <v>265</v>
      </c>
      <c r="S1" s="165" t="s">
        <v>266</v>
      </c>
      <c r="T1" s="161" t="s">
        <v>28</v>
      </c>
      <c r="U1" s="161" t="s">
        <v>267</v>
      </c>
      <c r="V1" s="162" t="s">
        <v>268</v>
      </c>
      <c r="W1" s="162" t="s">
        <v>269</v>
      </c>
      <c r="X1" s="162" t="s">
        <v>270</v>
      </c>
      <c r="Y1" s="162" t="s">
        <v>271</v>
      </c>
      <c r="Z1" s="46"/>
    </row>
    <row r="2" spans="1:26" ht="104.25" customHeight="1" x14ac:dyDescent="0.3">
      <c r="A2" s="132" t="s">
        <v>18</v>
      </c>
      <c r="B2" s="135" t="s">
        <v>31</v>
      </c>
      <c r="C2" s="135"/>
      <c r="D2" s="135"/>
      <c r="E2" s="135"/>
      <c r="F2" s="135"/>
      <c r="G2" s="135"/>
      <c r="H2" s="133" t="s">
        <v>91</v>
      </c>
      <c r="I2" s="134"/>
      <c r="J2" s="134"/>
      <c r="K2" s="134"/>
      <c r="L2" s="134"/>
      <c r="M2" s="132"/>
      <c r="N2" s="133" t="s">
        <v>32</v>
      </c>
      <c r="O2" s="134"/>
      <c r="P2" s="134"/>
      <c r="Q2" s="134"/>
      <c r="R2" s="134"/>
      <c r="S2" s="132"/>
      <c r="T2" s="135" t="s">
        <v>53</v>
      </c>
      <c r="U2" s="135"/>
      <c r="V2" s="135"/>
      <c r="W2" s="135"/>
      <c r="X2" s="135"/>
      <c r="Y2" s="135"/>
      <c r="Z2" s="46"/>
    </row>
    <row r="3" spans="1:26" ht="15" customHeight="1" x14ac:dyDescent="0.3">
      <c r="A3" s="132"/>
      <c r="B3" s="92" t="s">
        <v>19</v>
      </c>
      <c r="C3" s="93" t="s">
        <v>59</v>
      </c>
      <c r="D3" s="94" t="s">
        <v>20</v>
      </c>
      <c r="E3" s="94" t="s">
        <v>21</v>
      </c>
      <c r="F3" s="94" t="s">
        <v>22</v>
      </c>
      <c r="G3" s="94" t="s">
        <v>23</v>
      </c>
      <c r="H3" s="92" t="s">
        <v>19</v>
      </c>
      <c r="I3" s="93" t="s">
        <v>59</v>
      </c>
      <c r="J3" s="94" t="s">
        <v>20</v>
      </c>
      <c r="K3" s="94" t="s">
        <v>21</v>
      </c>
      <c r="L3" s="94" t="s">
        <v>22</v>
      </c>
      <c r="M3" s="94" t="s">
        <v>23</v>
      </c>
      <c r="N3" s="92" t="s">
        <v>19</v>
      </c>
      <c r="O3" s="94" t="s">
        <v>20</v>
      </c>
      <c r="P3" s="94" t="s">
        <v>21</v>
      </c>
      <c r="Q3" s="94" t="s">
        <v>22</v>
      </c>
      <c r="R3" s="94" t="s">
        <v>23</v>
      </c>
      <c r="S3" s="93" t="s">
        <v>82</v>
      </c>
      <c r="T3" s="92" t="s">
        <v>19</v>
      </c>
      <c r="U3" s="93" t="s">
        <v>59</v>
      </c>
      <c r="V3" s="94" t="s">
        <v>20</v>
      </c>
      <c r="W3" s="94" t="s">
        <v>21</v>
      </c>
      <c r="X3" s="94" t="s">
        <v>22</v>
      </c>
      <c r="Y3" s="94" t="s">
        <v>23</v>
      </c>
      <c r="Z3" s="46"/>
    </row>
    <row r="4" spans="1:26" s="1" customFormat="1" x14ac:dyDescent="0.3">
      <c r="A4" s="132"/>
      <c r="B4" s="98" t="s">
        <v>0</v>
      </c>
      <c r="C4" s="98">
        <v>2017</v>
      </c>
      <c r="D4" s="98" t="s">
        <v>0</v>
      </c>
      <c r="E4" s="98" t="s">
        <v>0</v>
      </c>
      <c r="F4" s="98" t="s">
        <v>0</v>
      </c>
      <c r="G4" s="98" t="s">
        <v>0</v>
      </c>
      <c r="H4" s="98">
        <v>2018</v>
      </c>
      <c r="I4" s="98">
        <v>2018</v>
      </c>
      <c r="J4" s="98">
        <v>2018</v>
      </c>
      <c r="K4" s="98">
        <v>2018</v>
      </c>
      <c r="L4" s="98">
        <v>2018</v>
      </c>
      <c r="M4" s="98">
        <v>2018</v>
      </c>
      <c r="N4" s="98">
        <v>2019</v>
      </c>
      <c r="O4" s="98">
        <v>2019</v>
      </c>
      <c r="P4" s="98">
        <v>2019</v>
      </c>
      <c r="Q4" s="98">
        <v>2019</v>
      </c>
      <c r="R4" s="98">
        <v>2019</v>
      </c>
      <c r="S4" s="98">
        <v>2019</v>
      </c>
      <c r="T4" s="98">
        <v>2020</v>
      </c>
      <c r="U4" s="98">
        <v>2020</v>
      </c>
      <c r="V4" s="98">
        <v>2020</v>
      </c>
      <c r="W4" s="98">
        <v>2020</v>
      </c>
      <c r="X4" s="98">
        <v>2020</v>
      </c>
      <c r="Y4" s="98">
        <v>2020</v>
      </c>
      <c r="Z4" s="167"/>
    </row>
    <row r="5" spans="1:26" x14ac:dyDescent="0.3">
      <c r="A5" s="139" t="s">
        <v>1</v>
      </c>
      <c r="B5" s="168">
        <v>2077027</v>
      </c>
      <c r="C5" s="168">
        <f>SUM(D5:F5)</f>
        <v>2073386</v>
      </c>
      <c r="D5" s="168">
        <v>2004288</v>
      </c>
      <c r="E5" s="168">
        <v>53763</v>
      </c>
      <c r="F5" s="168">
        <v>15335</v>
      </c>
      <c r="G5" s="168">
        <v>3641</v>
      </c>
      <c r="H5" s="168">
        <v>2150288</v>
      </c>
      <c r="I5" s="168">
        <f>SUM(J5:L5)</f>
        <v>2146614</v>
      </c>
      <c r="J5" s="168">
        <v>2078742</v>
      </c>
      <c r="K5" s="168">
        <v>52662</v>
      </c>
      <c r="L5" s="168">
        <v>15210</v>
      </c>
      <c r="M5" s="168">
        <v>3674</v>
      </c>
      <c r="N5" s="169">
        <f>SUM(O5:R5)</f>
        <v>2285104.0000000005</v>
      </c>
      <c r="O5" s="169">
        <f>SUM(O6:O21)</f>
        <v>2214489.122705928</v>
      </c>
      <c r="P5" s="169">
        <f>SUM(P6:P21)</f>
        <v>51925.265010750656</v>
      </c>
      <c r="Q5" s="169">
        <f>SUM(Q6:Q21)</f>
        <v>15034.317175037675</v>
      </c>
      <c r="R5" s="169">
        <f>SUM(R6:R21)</f>
        <v>3655.2951082838472</v>
      </c>
      <c r="S5" s="169">
        <f>SUM(O5:Q5)</f>
        <v>2281448.7048917166</v>
      </c>
      <c r="T5" s="45">
        <f>SUM(V5:Y5)</f>
        <v>2363451.1999999997</v>
      </c>
      <c r="U5" s="45">
        <f>SUM(V5:X5)</f>
        <v>2359822.1444959929</v>
      </c>
      <c r="V5" s="45">
        <f>SUM(V6:V21)</f>
        <v>2293821.1664821715</v>
      </c>
      <c r="W5" s="45">
        <f>SUM(W6:W21)</f>
        <v>51134.171363295987</v>
      </c>
      <c r="X5" s="45">
        <f>SUM(X6:X21)</f>
        <v>14866.806650525248</v>
      </c>
      <c r="Y5" s="45">
        <f>SUM(Y6:Y21)</f>
        <v>3629.0555040069248</v>
      </c>
      <c r="Z5" s="46"/>
    </row>
    <row r="6" spans="1:26" x14ac:dyDescent="0.3">
      <c r="A6" s="139" t="s">
        <v>2</v>
      </c>
      <c r="B6" s="168">
        <v>167531</v>
      </c>
      <c r="C6" s="168">
        <f t="shared" ref="C6:C21" si="0">SUM(D6:F6)</f>
        <v>167191</v>
      </c>
      <c r="D6" s="168">
        <v>162151</v>
      </c>
      <c r="E6" s="168">
        <v>3914</v>
      </c>
      <c r="F6" s="168">
        <v>1126</v>
      </c>
      <c r="G6" s="168">
        <v>340</v>
      </c>
      <c r="H6" s="168">
        <v>172896</v>
      </c>
      <c r="I6" s="168">
        <f t="shared" ref="I6:I21" si="1">SUM(J6:L6)</f>
        <v>172554</v>
      </c>
      <c r="J6" s="168">
        <v>167554</v>
      </c>
      <c r="K6" s="168">
        <v>3883</v>
      </c>
      <c r="L6" s="168">
        <v>1117</v>
      </c>
      <c r="M6" s="168">
        <v>342</v>
      </c>
      <c r="N6" s="169">
        <f t="shared" ref="N6:N21" si="2">SUM(O6:R6)</f>
        <v>184730</v>
      </c>
      <c r="O6" s="169">
        <f>SUM(H6+'5.1.3 Przeds. nowopowst.'!P6)-SUM('5.1.3 Przeds. niefinansowe'!P6+Q6+R6)</f>
        <v>179486.57630529703</v>
      </c>
      <c r="P6" s="169">
        <f>K6*'5.1.3 Podmioty REGON'!AR6</f>
        <v>3802.9261805140463</v>
      </c>
      <c r="Q6" s="169">
        <f>L6*'5.1.3 Podmioty REGON'!AS6</f>
        <v>1099.4554973821989</v>
      </c>
      <c r="R6" s="169">
        <f>M6*'5.1.3 Podmioty REGON'!AT6</f>
        <v>341.0420168067227</v>
      </c>
      <c r="S6" s="169">
        <f t="shared" ref="S6:S21" si="3">SUM(O6:Q6)</f>
        <v>184388.95798319328</v>
      </c>
      <c r="T6" s="45">
        <f t="shared" ref="T6:T21" si="4">SUM(V6:Y6)</f>
        <v>191951.40000000002</v>
      </c>
      <c r="U6" s="45">
        <f t="shared" ref="U6:U21" si="5">SUM(V6:X6)</f>
        <v>191611.2839820529</v>
      </c>
      <c r="V6" s="45">
        <f>SUM(N6+'5.1.3 Przeds. nowopowst.'!Q6)-SUM('5.1.3 Przeds. niefinansowe'!W6+X6+Y6)</f>
        <v>186760.1267493543</v>
      </c>
      <c r="W6" s="45">
        <f>P6*'5.1.3 Podmioty REGON'!AW6</f>
        <v>3757.4438525190267</v>
      </c>
      <c r="X6" s="45">
        <f>Q6*'5.1.3 Podmioty REGON'!AX6</f>
        <v>1093.7133801795619</v>
      </c>
      <c r="Y6" s="45">
        <f>R6*'5.1.3 Podmioty REGON'!AY6</f>
        <v>340.11601794710845</v>
      </c>
      <c r="Z6" s="46"/>
    </row>
    <row r="7" spans="1:26" x14ac:dyDescent="0.3">
      <c r="A7" s="139" t="s">
        <v>3</v>
      </c>
      <c r="B7" s="168">
        <v>95060</v>
      </c>
      <c r="C7" s="168">
        <f t="shared" si="0"/>
        <v>94874</v>
      </c>
      <c r="D7" s="168">
        <v>91351</v>
      </c>
      <c r="E7" s="168">
        <v>2730</v>
      </c>
      <c r="F7" s="168">
        <v>793</v>
      </c>
      <c r="G7" s="168">
        <v>186</v>
      </c>
      <c r="H7" s="168">
        <v>98308</v>
      </c>
      <c r="I7" s="168">
        <f t="shared" si="1"/>
        <v>98127</v>
      </c>
      <c r="J7" s="168">
        <v>94716</v>
      </c>
      <c r="K7" s="168">
        <v>2635</v>
      </c>
      <c r="L7" s="168">
        <v>776</v>
      </c>
      <c r="M7" s="168">
        <v>181</v>
      </c>
      <c r="N7" s="169">
        <f t="shared" si="2"/>
        <v>104101</v>
      </c>
      <c r="O7" s="169">
        <f>SUM(H7+'5.1.3 Przeds. nowopowst.'!P7)-SUM('5.1.3 Przeds. niefinansowe'!P7+Q7+R7)</f>
        <v>100562.5159873107</v>
      </c>
      <c r="P7" s="169">
        <f>K7*'5.1.3 Podmioty REGON'!AR7</f>
        <v>2604.9561467621693</v>
      </c>
      <c r="Q7" s="169">
        <f>L7*'5.1.3 Podmioty REGON'!AS7</f>
        <v>755.86427145708581</v>
      </c>
      <c r="R7" s="169">
        <f>M7*'5.1.3 Podmioty REGON'!AT7</f>
        <v>177.66359447004606</v>
      </c>
      <c r="S7" s="169">
        <f t="shared" si="3"/>
        <v>103923.33640552996</v>
      </c>
      <c r="T7" s="45">
        <f t="shared" si="4"/>
        <v>106672.4</v>
      </c>
      <c r="U7" s="45">
        <f t="shared" si="5"/>
        <v>106495.11952598924</v>
      </c>
      <c r="V7" s="45">
        <f>SUM(N7+'5.1.3 Przeds. nowopowst.'!Q7)-SUM('5.1.3 Przeds. niefinansowe'!W7+X7+Y7)</f>
        <v>103167.04431557113</v>
      </c>
      <c r="W7" s="45">
        <f>P7*'5.1.3 Podmioty REGON'!AW7</f>
        <v>2583.8467180515549</v>
      </c>
      <c r="X7" s="45">
        <f>Q7*'5.1.3 Podmioty REGON'!AX7</f>
        <v>744.22849236655816</v>
      </c>
      <c r="Y7" s="45">
        <f>R7*'5.1.3 Podmioty REGON'!AY7</f>
        <v>177.28047401075435</v>
      </c>
      <c r="Z7" s="46"/>
    </row>
    <row r="8" spans="1:26" x14ac:dyDescent="0.3">
      <c r="A8" s="139" t="s">
        <v>4</v>
      </c>
      <c r="B8" s="168">
        <v>85853</v>
      </c>
      <c r="C8" s="168">
        <f t="shared" si="0"/>
        <v>85753</v>
      </c>
      <c r="D8" s="168">
        <v>82820</v>
      </c>
      <c r="E8" s="168">
        <v>2397</v>
      </c>
      <c r="F8" s="168">
        <v>536</v>
      </c>
      <c r="G8" s="168">
        <v>100</v>
      </c>
      <c r="H8" s="168">
        <v>89950</v>
      </c>
      <c r="I8" s="168">
        <f t="shared" si="1"/>
        <v>89854</v>
      </c>
      <c r="J8" s="168">
        <v>87165</v>
      </c>
      <c r="K8" s="168">
        <v>2161</v>
      </c>
      <c r="L8" s="168">
        <v>528</v>
      </c>
      <c r="M8" s="168">
        <v>96</v>
      </c>
      <c r="N8" s="169">
        <f t="shared" si="2"/>
        <v>95079</v>
      </c>
      <c r="O8" s="169">
        <f>SUM(H8+'5.1.3 Przeds. nowopowst.'!P8)-SUM('5.1.3 Przeds. niefinansowe'!P8+Q8+R8)</f>
        <v>92369.84138218232</v>
      </c>
      <c r="P8" s="169">
        <f>K8*'5.1.3 Podmioty REGON'!AR8</f>
        <v>2097.8826357969724</v>
      </c>
      <c r="Q8" s="169">
        <f>L8*'5.1.3 Podmioty REGON'!AS8</f>
        <v>516.0201680672269</v>
      </c>
      <c r="R8" s="169">
        <f>M8*'5.1.3 Podmioty REGON'!AT8</f>
        <v>95.255813953488371</v>
      </c>
      <c r="S8" s="169">
        <f t="shared" si="3"/>
        <v>94983.744186046519</v>
      </c>
      <c r="T8" s="45">
        <f t="shared" si="4"/>
        <v>98363.6</v>
      </c>
      <c r="U8" s="45">
        <f t="shared" si="5"/>
        <v>98269.599115190867</v>
      </c>
      <c r="V8" s="45">
        <f>SUM(N8+'5.1.3 Przeds. nowopowst.'!Q8)-SUM('5.1.3 Przeds. niefinansowe'!W8+X8+Y8)</f>
        <v>95687.426974064714</v>
      </c>
      <c r="W8" s="45">
        <f>P8*'5.1.3 Podmioty REGON'!AW8</f>
        <v>2072.5675955071056</v>
      </c>
      <c r="X8" s="45">
        <f>Q8*'5.1.3 Podmioty REGON'!AX8</f>
        <v>509.60454561904635</v>
      </c>
      <c r="Y8" s="45">
        <f>R8*'5.1.3 Podmioty REGON'!AY8</f>
        <v>94.000884809132828</v>
      </c>
      <c r="Z8" s="46"/>
    </row>
    <row r="9" spans="1:26" x14ac:dyDescent="0.3">
      <c r="A9" s="139" t="s">
        <v>5</v>
      </c>
      <c r="B9" s="168">
        <v>50038</v>
      </c>
      <c r="C9" s="168">
        <f t="shared" si="0"/>
        <v>49955</v>
      </c>
      <c r="D9" s="168">
        <v>48267</v>
      </c>
      <c r="E9" s="168">
        <v>1283</v>
      </c>
      <c r="F9" s="168">
        <v>405</v>
      </c>
      <c r="G9" s="168">
        <v>83</v>
      </c>
      <c r="H9" s="168">
        <v>51429</v>
      </c>
      <c r="I9" s="168">
        <f t="shared" si="1"/>
        <v>51348</v>
      </c>
      <c r="J9" s="168">
        <v>49662</v>
      </c>
      <c r="K9" s="168">
        <v>1288</v>
      </c>
      <c r="L9" s="168">
        <v>398</v>
      </c>
      <c r="M9" s="168">
        <v>81</v>
      </c>
      <c r="N9" s="169">
        <f t="shared" si="2"/>
        <v>55201.000000000007</v>
      </c>
      <c r="O9" s="169">
        <f>SUM(H9+'5.1.3 Przeds. nowopowst.'!P9)-SUM('5.1.3 Przeds. niefinansowe'!P9+Q9+R9)</f>
        <v>53456.248407149185</v>
      </c>
      <c r="P9" s="169">
        <f>K9*'5.1.3 Podmioty REGON'!AR9</f>
        <v>1268.4738910724313</v>
      </c>
      <c r="Q9" s="169">
        <f>L9*'5.1.3 Podmioty REGON'!AS9</f>
        <v>395.27770177838579</v>
      </c>
      <c r="R9" s="169">
        <f>M9*'5.1.3 Podmioty REGON'!AT9</f>
        <v>81</v>
      </c>
      <c r="S9" s="169">
        <f t="shared" si="3"/>
        <v>55120.000000000007</v>
      </c>
      <c r="T9" s="45">
        <f t="shared" si="4"/>
        <v>56710.200000000004</v>
      </c>
      <c r="U9" s="45">
        <f t="shared" si="5"/>
        <v>56630.097527472535</v>
      </c>
      <c r="V9" s="45">
        <f>SUM(N9+'5.1.3 Przeds. nowopowst.'!Q9)-SUM('5.1.3 Przeds. niefinansowe'!W9+X9+Y9)</f>
        <v>54996.55039043435</v>
      </c>
      <c r="W9" s="45">
        <f>P9*'5.1.3 Podmioty REGON'!AW9</f>
        <v>1239.9372105925909</v>
      </c>
      <c r="X9" s="45">
        <f>Q9*'5.1.3 Podmioty REGON'!AX9</f>
        <v>393.6099264455932</v>
      </c>
      <c r="Y9" s="45">
        <f>R9*'5.1.3 Podmioty REGON'!AY9</f>
        <v>80.102472527472528</v>
      </c>
      <c r="Z9" s="46"/>
    </row>
    <row r="10" spans="1:26" x14ac:dyDescent="0.3">
      <c r="A10" s="139" t="s">
        <v>6</v>
      </c>
      <c r="B10" s="168">
        <v>126803</v>
      </c>
      <c r="C10" s="168">
        <f t="shared" si="0"/>
        <v>126602</v>
      </c>
      <c r="D10" s="168">
        <v>122311</v>
      </c>
      <c r="E10" s="168">
        <v>3339</v>
      </c>
      <c r="F10" s="168">
        <v>952</v>
      </c>
      <c r="G10" s="168">
        <v>201</v>
      </c>
      <c r="H10" s="168">
        <v>129188</v>
      </c>
      <c r="I10" s="168">
        <f t="shared" si="1"/>
        <v>128986</v>
      </c>
      <c r="J10" s="168">
        <v>124824</v>
      </c>
      <c r="K10" s="168">
        <v>3239</v>
      </c>
      <c r="L10" s="168">
        <v>923</v>
      </c>
      <c r="M10" s="168">
        <v>202</v>
      </c>
      <c r="N10" s="169">
        <f t="shared" si="2"/>
        <v>135890.99999999997</v>
      </c>
      <c r="O10" s="169">
        <f>SUM(H10+'5.1.3 Przeds. nowopowst.'!P10)-SUM('5.1.3 Przeds. niefinansowe'!P10+Q10+R10)</f>
        <v>131606.1931157423</v>
      </c>
      <c r="P10" s="169">
        <f>K10*'5.1.3 Podmioty REGON'!AR10</f>
        <v>3178.4712542596458</v>
      </c>
      <c r="Q10" s="169">
        <f>L10*'5.1.3 Podmioty REGON'!AS10</f>
        <v>905.17729666471621</v>
      </c>
      <c r="R10" s="169">
        <f>M10*'5.1.3 Podmioty REGON'!AT10</f>
        <v>201.15833333333333</v>
      </c>
      <c r="S10" s="169">
        <f t="shared" si="3"/>
        <v>135689.84166666665</v>
      </c>
      <c r="T10" s="45">
        <f t="shared" si="4"/>
        <v>139253.39999999997</v>
      </c>
      <c r="U10" s="45">
        <f t="shared" si="5"/>
        <v>139055.26767954646</v>
      </c>
      <c r="V10" s="45">
        <f>SUM(N10+'5.1.3 Przeds. nowopowst.'!Q10)-SUM('5.1.3 Przeds. niefinansowe'!W10+X10+Y10)</f>
        <v>135043.33143364365</v>
      </c>
      <c r="W10" s="45">
        <f>P10*'5.1.3 Podmioty REGON'!AW10</f>
        <v>3120.9749515193162</v>
      </c>
      <c r="X10" s="45">
        <f>Q10*'5.1.3 Podmioty REGON'!AX10</f>
        <v>890.96129438349681</v>
      </c>
      <c r="Y10" s="45">
        <f>R10*'5.1.3 Podmioty REGON'!AY10</f>
        <v>198.13232045349588</v>
      </c>
      <c r="Z10" s="46"/>
    </row>
    <row r="11" spans="1:26" x14ac:dyDescent="0.3">
      <c r="A11" s="139" t="s">
        <v>7</v>
      </c>
      <c r="B11" s="168">
        <v>193435</v>
      </c>
      <c r="C11" s="168">
        <f t="shared" si="0"/>
        <v>193146</v>
      </c>
      <c r="D11" s="168">
        <v>186222</v>
      </c>
      <c r="E11" s="168">
        <v>5566</v>
      </c>
      <c r="F11" s="168">
        <v>1358</v>
      </c>
      <c r="G11" s="168">
        <v>289</v>
      </c>
      <c r="H11" s="168">
        <v>202741</v>
      </c>
      <c r="I11" s="168">
        <f t="shared" si="1"/>
        <v>202462</v>
      </c>
      <c r="J11" s="168">
        <v>195921</v>
      </c>
      <c r="K11" s="168">
        <v>5198</v>
      </c>
      <c r="L11" s="168">
        <v>1343</v>
      </c>
      <c r="M11" s="168">
        <v>279</v>
      </c>
      <c r="N11" s="169">
        <f t="shared" si="2"/>
        <v>217774.99999999997</v>
      </c>
      <c r="O11" s="169">
        <f>SUM(H11+'5.1.3 Przeds. nowopowst.'!P11)-SUM('5.1.3 Przeds. niefinansowe'!P11+Q11+R11)</f>
        <v>211067.00683393775</v>
      </c>
      <c r="P11" s="169">
        <f>K11*'5.1.3 Podmioty REGON'!AR11</f>
        <v>5114.0737408627201</v>
      </c>
      <c r="Q11" s="169">
        <f>L11*'5.1.3 Podmioty REGON'!AS11</f>
        <v>1318.9864805931095</v>
      </c>
      <c r="R11" s="169">
        <f>M11*'5.1.3 Podmioty REGON'!AT11</f>
        <v>274.93294460641397</v>
      </c>
      <c r="S11" s="169">
        <f t="shared" si="3"/>
        <v>217500.06705539356</v>
      </c>
      <c r="T11" s="45">
        <f t="shared" si="4"/>
        <v>227625.60000000001</v>
      </c>
      <c r="U11" s="45">
        <f>SUM(V11:X11)</f>
        <v>227352.25248369275</v>
      </c>
      <c r="V11" s="45">
        <f>SUM(N11+'5.1.3 Przeds. nowopowst.'!Q11)-SUM('5.1.3 Przeds. niefinansowe'!W11+X11+Y11)</f>
        <v>221028.22200343222</v>
      </c>
      <c r="W11" s="45">
        <f>P11*'5.1.3 Podmioty REGON'!AW11</f>
        <v>5023.3826088997776</v>
      </c>
      <c r="X11" s="45">
        <f>Q11*'5.1.3 Podmioty REGON'!AX11</f>
        <v>1300.6478713607253</v>
      </c>
      <c r="Y11" s="45">
        <f>R11*'5.1.3 Podmioty REGON'!AY11</f>
        <v>273.3475163072477</v>
      </c>
      <c r="Z11" s="46"/>
    </row>
    <row r="12" spans="1:26" x14ac:dyDescent="0.3">
      <c r="A12" s="139" t="s">
        <v>8</v>
      </c>
      <c r="B12" s="168">
        <v>394842</v>
      </c>
      <c r="C12" s="168">
        <f t="shared" si="0"/>
        <v>393982</v>
      </c>
      <c r="D12" s="168">
        <v>382983</v>
      </c>
      <c r="E12" s="168">
        <v>8313</v>
      </c>
      <c r="F12" s="168">
        <v>2686</v>
      </c>
      <c r="G12" s="168">
        <v>860</v>
      </c>
      <c r="H12" s="168">
        <v>414956</v>
      </c>
      <c r="I12" s="168">
        <f t="shared" si="1"/>
        <v>414094</v>
      </c>
      <c r="J12" s="168">
        <v>402960</v>
      </c>
      <c r="K12" s="168">
        <v>8417</v>
      </c>
      <c r="L12" s="168">
        <v>2717</v>
      </c>
      <c r="M12" s="168">
        <v>862</v>
      </c>
      <c r="N12" s="169">
        <f t="shared" si="2"/>
        <v>442609</v>
      </c>
      <c r="O12" s="169">
        <f>SUM(H12+'5.1.3 Przeds. nowopowst.'!P12)-SUM('5.1.3 Przeds. niefinansowe'!P12+Q12+R12)</f>
        <v>430603.16304354946</v>
      </c>
      <c r="P12" s="169">
        <f>K12*'5.1.3 Podmioty REGON'!AR12</f>
        <v>8426.7661196751214</v>
      </c>
      <c r="Q12" s="169">
        <f>L12*'5.1.3 Podmioty REGON'!AS12</f>
        <v>2722.0201190720595</v>
      </c>
      <c r="R12" s="169">
        <f>M12*'5.1.3 Podmioty REGON'!AT12</f>
        <v>857.05071770334928</v>
      </c>
      <c r="S12" s="169">
        <f t="shared" si="3"/>
        <v>441751.94928229664</v>
      </c>
      <c r="T12" s="45">
        <f t="shared" si="4"/>
        <v>462094.6</v>
      </c>
      <c r="U12" s="45">
        <f t="shared" si="5"/>
        <v>461243.12186465482</v>
      </c>
      <c r="V12" s="45">
        <f>SUM(N12+'5.1.3 Przeds. nowopowst.'!Q12)-SUM('5.1.3 Przeds. niefinansowe'!W12+X12+Y12)</f>
        <v>450208.91062888014</v>
      </c>
      <c r="W12" s="45">
        <f>P12*'5.1.3 Podmioty REGON'!AW12</f>
        <v>8333.6046427008205</v>
      </c>
      <c r="X12" s="45">
        <f>Q12*'5.1.3 Podmioty REGON'!AX12</f>
        <v>2700.6065930738496</v>
      </c>
      <c r="Y12" s="45">
        <f>R12*'5.1.3 Podmioty REGON'!AY12</f>
        <v>851.47813534513591</v>
      </c>
      <c r="Z12" s="46"/>
    </row>
    <row r="13" spans="1:26" x14ac:dyDescent="0.3">
      <c r="A13" s="139" t="s">
        <v>9</v>
      </c>
      <c r="B13" s="168">
        <v>41227</v>
      </c>
      <c r="C13" s="168">
        <f t="shared" si="0"/>
        <v>41152</v>
      </c>
      <c r="D13" s="168">
        <v>39575</v>
      </c>
      <c r="E13" s="168">
        <v>1251</v>
      </c>
      <c r="F13" s="168">
        <v>326</v>
      </c>
      <c r="G13" s="168">
        <v>75</v>
      </c>
      <c r="H13" s="168">
        <v>42527</v>
      </c>
      <c r="I13" s="168">
        <f t="shared" si="1"/>
        <v>42449</v>
      </c>
      <c r="J13" s="168">
        <v>40858</v>
      </c>
      <c r="K13" s="168">
        <v>1263</v>
      </c>
      <c r="L13" s="168">
        <v>328</v>
      </c>
      <c r="M13" s="168">
        <v>78</v>
      </c>
      <c r="N13" s="169">
        <f t="shared" si="2"/>
        <v>44915</v>
      </c>
      <c r="O13" s="169">
        <f>SUM(H13+'5.1.3 Przeds. nowopowst.'!P13)-SUM('5.1.3 Przeds. niefinansowe'!P13+Q13+R13)</f>
        <v>43275.337818014807</v>
      </c>
      <c r="P13" s="169">
        <f>K13*'5.1.3 Podmioty REGON'!AR13</f>
        <v>1240.5931401537553</v>
      </c>
      <c r="Q13" s="169">
        <f>L13*'5.1.3 Podmioty REGON'!AS13</f>
        <v>322.88299531981278</v>
      </c>
      <c r="R13" s="169">
        <f>M13*'5.1.3 Podmioty REGON'!AT13</f>
        <v>76.186046511627907</v>
      </c>
      <c r="S13" s="169">
        <f t="shared" si="3"/>
        <v>44838.813953488374</v>
      </c>
      <c r="T13" s="45">
        <f t="shared" si="4"/>
        <v>45734.600000000006</v>
      </c>
      <c r="U13" s="45">
        <f t="shared" si="5"/>
        <v>45658.627667825494</v>
      </c>
      <c r="V13" s="45">
        <f>SUM(N13+'5.1.3 Przeds. nowopowst.'!Q13)-SUM('5.1.3 Przeds. niefinansowe'!W13+X13+Y13)</f>
        <v>44110.010133325748</v>
      </c>
      <c r="W13" s="45">
        <f>P13*'5.1.3 Podmioty REGON'!AW13</f>
        <v>1230.2921351546868</v>
      </c>
      <c r="X13" s="45">
        <f>Q13*'5.1.3 Podmioty REGON'!AX13</f>
        <v>318.32539934505269</v>
      </c>
      <c r="Y13" s="45">
        <f>R13*'5.1.3 Podmioty REGON'!AY13</f>
        <v>75.9723321745102</v>
      </c>
      <c r="Z13" s="46"/>
    </row>
    <row r="14" spans="1:26" x14ac:dyDescent="0.3">
      <c r="A14" s="139" t="s">
        <v>10</v>
      </c>
      <c r="B14" s="168">
        <v>84450</v>
      </c>
      <c r="C14" s="168">
        <f t="shared" si="0"/>
        <v>84304</v>
      </c>
      <c r="D14" s="168">
        <v>80806</v>
      </c>
      <c r="E14" s="168">
        <v>2778</v>
      </c>
      <c r="F14" s="168">
        <v>720</v>
      </c>
      <c r="G14" s="168">
        <v>146</v>
      </c>
      <c r="H14" s="168">
        <v>86677</v>
      </c>
      <c r="I14" s="168">
        <f t="shared" si="1"/>
        <v>86531</v>
      </c>
      <c r="J14" s="168">
        <v>83158</v>
      </c>
      <c r="K14" s="168">
        <v>2661</v>
      </c>
      <c r="L14" s="168">
        <v>712</v>
      </c>
      <c r="M14" s="168">
        <v>146</v>
      </c>
      <c r="N14" s="169">
        <f t="shared" si="2"/>
        <v>92305.999999999985</v>
      </c>
      <c r="O14" s="169">
        <f>SUM(H14+'5.1.3 Przeds. nowopowst.'!P14)-SUM('5.1.3 Przeds. niefinansowe'!P14+Q14+R14)</f>
        <v>88853.333869421098</v>
      </c>
      <c r="P14" s="169">
        <f>K14*'5.1.3 Podmioty REGON'!AR14</f>
        <v>2609.4179561299097</v>
      </c>
      <c r="Q14" s="169">
        <f>L14*'5.1.3 Podmioty REGON'!AS14</f>
        <v>698.83513097072421</v>
      </c>
      <c r="R14" s="169">
        <f>M14*'5.1.3 Podmioty REGON'!AT14</f>
        <v>144.41304347826087</v>
      </c>
      <c r="S14" s="169">
        <f t="shared" si="3"/>
        <v>92161.586956521729</v>
      </c>
      <c r="T14" s="45">
        <f t="shared" si="4"/>
        <v>96090.999999999971</v>
      </c>
      <c r="U14" s="45">
        <f t="shared" si="5"/>
        <v>95948.124621844108</v>
      </c>
      <c r="V14" s="45">
        <f>SUM(N14+'5.1.3 Przeds. nowopowst.'!Q14)-SUM('5.1.3 Przeds. niefinansowe'!W14+X14+Y14)</f>
        <v>92654.236678522342</v>
      </c>
      <c r="W14" s="45">
        <f>P14*'5.1.3 Podmioty REGON'!AW14</f>
        <v>2591.4995643811581</v>
      </c>
      <c r="X14" s="45">
        <f>Q14*'5.1.3 Podmioty REGON'!AX14</f>
        <v>702.38837894061589</v>
      </c>
      <c r="Y14" s="45">
        <f>R14*'5.1.3 Podmioty REGON'!AY14</f>
        <v>142.87537815586455</v>
      </c>
      <c r="Z14" s="46"/>
    </row>
    <row r="15" spans="1:26" x14ac:dyDescent="0.3">
      <c r="A15" s="139" t="s">
        <v>11</v>
      </c>
      <c r="B15" s="168">
        <v>49440</v>
      </c>
      <c r="C15" s="168">
        <f t="shared" si="0"/>
        <v>49383</v>
      </c>
      <c r="D15" s="168">
        <v>47692</v>
      </c>
      <c r="E15" s="168">
        <v>1317</v>
      </c>
      <c r="F15" s="168">
        <v>374</v>
      </c>
      <c r="G15" s="168">
        <v>57</v>
      </c>
      <c r="H15" s="168">
        <v>51676</v>
      </c>
      <c r="I15" s="168">
        <f t="shared" si="1"/>
        <v>51613</v>
      </c>
      <c r="J15" s="168">
        <v>49947</v>
      </c>
      <c r="K15" s="168">
        <v>1289</v>
      </c>
      <c r="L15" s="168">
        <v>377</v>
      </c>
      <c r="M15" s="168">
        <v>63</v>
      </c>
      <c r="N15" s="169">
        <f t="shared" si="2"/>
        <v>55372.000000000007</v>
      </c>
      <c r="O15" s="169">
        <f>SUM(H15+'5.1.3 Przeds. nowopowst.'!P15)-SUM('5.1.3 Przeds. niefinansowe'!P15+Q15+R15)</f>
        <v>53674.416690163562</v>
      </c>
      <c r="P15" s="169">
        <f>K15*'5.1.3 Podmioty REGON'!AR15</f>
        <v>1261.3964957819599</v>
      </c>
      <c r="Q15" s="169">
        <f>L15*'5.1.3 Podmioty REGON'!AS15</f>
        <v>372.44563758389262</v>
      </c>
      <c r="R15" s="169">
        <f>M15*'5.1.3 Podmioty REGON'!AT15</f>
        <v>63.741176470588229</v>
      </c>
      <c r="S15" s="169">
        <f t="shared" si="3"/>
        <v>55308.258823529417</v>
      </c>
      <c r="T15" s="45">
        <f t="shared" si="4"/>
        <v>57390.000000000007</v>
      </c>
      <c r="U15" s="45">
        <f t="shared" si="5"/>
        <v>57327.482757536869</v>
      </c>
      <c r="V15" s="45">
        <f>SUM(N15+'5.1.3 Przeds. nowopowst.'!Q15)-SUM('5.1.3 Przeds. niefinansowe'!W15+X15+Y15)</f>
        <v>55693.766742240427</v>
      </c>
      <c r="W15" s="45">
        <f>P15*'5.1.3 Podmioty REGON'!AW15</f>
        <v>1259.8158291151346</v>
      </c>
      <c r="X15" s="45">
        <f>Q15*'5.1.3 Podmioty REGON'!AX15</f>
        <v>373.90018618130716</v>
      </c>
      <c r="Y15" s="45">
        <f>R15*'5.1.3 Podmioty REGON'!AY15</f>
        <v>62.517242463140157</v>
      </c>
      <c r="Z15" s="46"/>
    </row>
    <row r="16" spans="1:26" x14ac:dyDescent="0.3">
      <c r="A16" s="139" t="s">
        <v>12</v>
      </c>
      <c r="B16" s="168">
        <v>137661</v>
      </c>
      <c r="C16" s="168">
        <f t="shared" si="0"/>
        <v>137450</v>
      </c>
      <c r="D16" s="168">
        <v>133146</v>
      </c>
      <c r="E16" s="168">
        <v>3308</v>
      </c>
      <c r="F16" s="168">
        <v>996</v>
      </c>
      <c r="G16" s="168">
        <v>211</v>
      </c>
      <c r="H16" s="168">
        <v>142492</v>
      </c>
      <c r="I16" s="168">
        <f t="shared" si="1"/>
        <v>142263</v>
      </c>
      <c r="J16" s="168">
        <v>138029</v>
      </c>
      <c r="K16" s="168">
        <v>3243</v>
      </c>
      <c r="L16" s="168">
        <v>991</v>
      </c>
      <c r="M16" s="168">
        <v>229</v>
      </c>
      <c r="N16" s="169">
        <f t="shared" si="2"/>
        <v>151449.99999999997</v>
      </c>
      <c r="O16" s="169">
        <f>SUM(H16+'5.1.3 Przeds. nowopowst.'!P16)-SUM('5.1.3 Przeds. niefinansowe'!P16+Q16+R16)</f>
        <v>147051.92828221113</v>
      </c>
      <c r="P16" s="169">
        <f>K16*'5.1.3 Podmioty REGON'!AR16</f>
        <v>3197.1084905660377</v>
      </c>
      <c r="Q16" s="169">
        <f>L16*'5.1.3 Podmioty REGON'!AS16</f>
        <v>971.96322722283207</v>
      </c>
      <c r="R16" s="169">
        <f>M16*'5.1.3 Podmioty REGON'!AT16</f>
        <v>229</v>
      </c>
      <c r="S16" s="169">
        <f t="shared" si="3"/>
        <v>151220.99999999997</v>
      </c>
      <c r="T16" s="45">
        <f t="shared" si="4"/>
        <v>157332.99999999997</v>
      </c>
      <c r="U16" s="45">
        <f t="shared" si="5"/>
        <v>157105.41267823215</v>
      </c>
      <c r="V16" s="45">
        <f>SUM(N16+'5.1.3 Przeds. nowopowst.'!Q16)-SUM('5.1.3 Przeds. niefinansowe'!W16+X16+Y16)</f>
        <v>153046.37238254413</v>
      </c>
      <c r="W16" s="45">
        <f>P16*'5.1.3 Podmioty REGON'!AW16</f>
        <v>3106.371142522325</v>
      </c>
      <c r="X16" s="45">
        <f>Q16*'5.1.3 Podmioty REGON'!AX16</f>
        <v>952.66915316572408</v>
      </c>
      <c r="Y16" s="45">
        <f>R16*'5.1.3 Podmioty REGON'!AY16</f>
        <v>227.58732176780515</v>
      </c>
      <c r="Z16" s="46"/>
    </row>
    <row r="17" spans="1:26" x14ac:dyDescent="0.3">
      <c r="A17" s="139" t="s">
        <v>13</v>
      </c>
      <c r="B17" s="168">
        <v>228272</v>
      </c>
      <c r="C17" s="168">
        <f t="shared" si="0"/>
        <v>227808</v>
      </c>
      <c r="D17" s="168">
        <v>218897</v>
      </c>
      <c r="E17" s="168">
        <v>7011</v>
      </c>
      <c r="F17" s="168">
        <v>1900</v>
      </c>
      <c r="G17" s="168">
        <v>464</v>
      </c>
      <c r="H17" s="168">
        <v>233849</v>
      </c>
      <c r="I17" s="168">
        <f t="shared" si="1"/>
        <v>233381</v>
      </c>
      <c r="J17" s="168">
        <v>224518</v>
      </c>
      <c r="K17" s="168">
        <v>6949</v>
      </c>
      <c r="L17" s="168">
        <v>1914</v>
      </c>
      <c r="M17" s="168">
        <v>468</v>
      </c>
      <c r="N17" s="169">
        <f t="shared" si="2"/>
        <v>245639.99999999997</v>
      </c>
      <c r="O17" s="169">
        <f>SUM(H17+'5.1.3 Przeds. nowopowst.'!P17)-SUM('5.1.3 Przeds. niefinansowe'!P17+Q17+R17)</f>
        <v>236447.18568836065</v>
      </c>
      <c r="P17" s="169">
        <f>K17*'5.1.3 Podmioty REGON'!AR17</f>
        <v>6824.2486104935533</v>
      </c>
      <c r="Q17" s="169">
        <f>L17*'5.1.3 Podmioty REGON'!AS17</f>
        <v>1903.1465834987241</v>
      </c>
      <c r="R17" s="169">
        <f>M17*'5.1.3 Podmioty REGON'!AT17</f>
        <v>465.41911764705884</v>
      </c>
      <c r="S17" s="169">
        <f t="shared" si="3"/>
        <v>245174.58088235292</v>
      </c>
      <c r="T17" s="45">
        <f t="shared" si="4"/>
        <v>250567.19999999998</v>
      </c>
      <c r="U17" s="45">
        <f t="shared" si="5"/>
        <v>250104.53200976443</v>
      </c>
      <c r="V17" s="45">
        <f>SUM(N17+'5.1.3 Przeds. nowopowst.'!Q17)-SUM('5.1.3 Przeds. niefinansowe'!W17+X17+Y17)</f>
        <v>241544.08810428879</v>
      </c>
      <c r="W17" s="45">
        <f>P17*'5.1.3 Podmioty REGON'!AW17</f>
        <v>6676.6957915148714</v>
      </c>
      <c r="X17" s="45">
        <f>Q17*'5.1.3 Podmioty REGON'!AX17</f>
        <v>1883.7481139607485</v>
      </c>
      <c r="Y17" s="45">
        <f>R17*'5.1.3 Podmioty REGON'!AY17</f>
        <v>462.66799023555558</v>
      </c>
      <c r="Z17" s="46"/>
    </row>
    <row r="18" spans="1:26" x14ac:dyDescent="0.3">
      <c r="A18" s="139" t="s">
        <v>14</v>
      </c>
      <c r="B18" s="168">
        <v>52822</v>
      </c>
      <c r="C18" s="168">
        <f t="shared" si="0"/>
        <v>52741</v>
      </c>
      <c r="D18" s="168">
        <v>50975</v>
      </c>
      <c r="E18" s="168">
        <v>1403</v>
      </c>
      <c r="F18" s="168">
        <v>363</v>
      </c>
      <c r="G18" s="168">
        <v>81</v>
      </c>
      <c r="H18" s="168">
        <v>53140</v>
      </c>
      <c r="I18" s="168">
        <f t="shared" si="1"/>
        <v>53057</v>
      </c>
      <c r="J18" s="168">
        <v>51344</v>
      </c>
      <c r="K18" s="168">
        <v>1348</v>
      </c>
      <c r="L18" s="168">
        <v>365</v>
      </c>
      <c r="M18" s="168">
        <v>83</v>
      </c>
      <c r="N18" s="169">
        <f t="shared" si="2"/>
        <v>55747</v>
      </c>
      <c r="O18" s="169">
        <f>SUM(H18+'5.1.3 Przeds. nowopowst.'!P18)-SUM('5.1.3 Przeds. niefinansowe'!P18+Q18+R18)</f>
        <v>53981.130499486469</v>
      </c>
      <c r="P18" s="169">
        <f>K18*'5.1.3 Podmioty REGON'!AR18</f>
        <v>1326.258064516129</v>
      </c>
      <c r="Q18" s="169">
        <f>L18*'5.1.3 Podmioty REGON'!AS18</f>
        <v>357.33950617283949</v>
      </c>
      <c r="R18" s="169">
        <f>M18*'5.1.3 Podmioty REGON'!AT18</f>
        <v>82.271929824561397</v>
      </c>
      <c r="S18" s="169">
        <f t="shared" si="3"/>
        <v>55664.728070175435</v>
      </c>
      <c r="T18" s="45">
        <f t="shared" si="4"/>
        <v>57197.2</v>
      </c>
      <c r="U18" s="45">
        <f t="shared" si="5"/>
        <v>57115.635926611641</v>
      </c>
      <c r="V18" s="45">
        <f>SUM(N18+'5.1.3 Przeds. nowopowst.'!Q18)-SUM('5.1.3 Przeds. niefinansowe'!W18+X18+Y18)</f>
        <v>55445.64910856865</v>
      </c>
      <c r="W18" s="45">
        <f>P18*'5.1.3 Podmioty REGON'!AW18</f>
        <v>1318.0501599414922</v>
      </c>
      <c r="X18" s="45">
        <f>Q18*'5.1.3 Podmioty REGON'!AX18</f>
        <v>351.93665810149929</v>
      </c>
      <c r="Y18" s="45">
        <f>R18*'5.1.3 Podmioty REGON'!AY18</f>
        <v>81.564073388357869</v>
      </c>
      <c r="Z18" s="46"/>
    </row>
    <row r="19" spans="1:26" x14ac:dyDescent="0.3">
      <c r="A19" s="139" t="s">
        <v>15</v>
      </c>
      <c r="B19" s="168">
        <v>56906</v>
      </c>
      <c r="C19" s="168">
        <f t="shared" si="0"/>
        <v>56829</v>
      </c>
      <c r="D19" s="168">
        <v>54942</v>
      </c>
      <c r="E19" s="168">
        <v>1426</v>
      </c>
      <c r="F19" s="168">
        <v>461</v>
      </c>
      <c r="G19" s="168">
        <v>77</v>
      </c>
      <c r="H19" s="168">
        <v>59268</v>
      </c>
      <c r="I19" s="168">
        <f t="shared" si="1"/>
        <v>59190</v>
      </c>
      <c r="J19" s="168">
        <v>57312</v>
      </c>
      <c r="K19" s="168">
        <v>1437</v>
      </c>
      <c r="L19" s="168">
        <v>441</v>
      </c>
      <c r="M19" s="168">
        <v>78</v>
      </c>
      <c r="N19" s="169">
        <f t="shared" si="2"/>
        <v>63357.000000000007</v>
      </c>
      <c r="O19" s="169">
        <f>SUM(H19+'5.1.3 Przeds. nowopowst.'!P19)-SUM('5.1.3 Przeds. niefinansowe'!P19+Q19+R19)</f>
        <v>61443.053703259466</v>
      </c>
      <c r="P19" s="169">
        <f>K19*'5.1.3 Podmioty REGON'!AR19</f>
        <v>1400.7255673923112</v>
      </c>
      <c r="Q19" s="169">
        <f>L19*'5.1.3 Podmioty REGON'!AS19</f>
        <v>435.93632567849687</v>
      </c>
      <c r="R19" s="169">
        <f>M19*'5.1.3 Podmioty REGON'!AT19</f>
        <v>77.284403669724782</v>
      </c>
      <c r="S19" s="169">
        <f t="shared" si="3"/>
        <v>63279.715596330279</v>
      </c>
      <c r="T19" s="45">
        <f t="shared" si="4"/>
        <v>65156.200000000004</v>
      </c>
      <c r="U19" s="45">
        <f t="shared" si="5"/>
        <v>65080.279392683689</v>
      </c>
      <c r="V19" s="45">
        <f>SUM(N19+'5.1.3 Przeds. nowopowst.'!Q19)-SUM('5.1.3 Przeds. niefinansowe'!W19+X19+Y19)</f>
        <v>63274.082746425745</v>
      </c>
      <c r="W19" s="45">
        <f>P19*'5.1.3 Podmioty REGON'!AW19</f>
        <v>1376.6508924675245</v>
      </c>
      <c r="X19" s="45">
        <f>Q19*'5.1.3 Podmioty REGON'!AX19</f>
        <v>429.54575379042217</v>
      </c>
      <c r="Y19" s="45">
        <f>R19*'5.1.3 Podmioty REGON'!AY19</f>
        <v>75.920607316312712</v>
      </c>
      <c r="Z19" s="46"/>
    </row>
    <row r="20" spans="1:26" x14ac:dyDescent="0.3">
      <c r="A20" s="139" t="s">
        <v>16</v>
      </c>
      <c r="B20" s="168">
        <v>212497</v>
      </c>
      <c r="C20" s="168">
        <f t="shared" si="0"/>
        <v>212109</v>
      </c>
      <c r="D20" s="168">
        <v>204731</v>
      </c>
      <c r="E20" s="168">
        <v>5639</v>
      </c>
      <c r="F20" s="168">
        <v>1739</v>
      </c>
      <c r="G20" s="168">
        <v>388</v>
      </c>
      <c r="H20" s="168">
        <v>219120</v>
      </c>
      <c r="I20" s="168">
        <f t="shared" si="1"/>
        <v>218726</v>
      </c>
      <c r="J20" s="168">
        <v>211377</v>
      </c>
      <c r="K20" s="168">
        <v>5657</v>
      </c>
      <c r="L20" s="168">
        <v>1692</v>
      </c>
      <c r="M20" s="168">
        <v>394</v>
      </c>
      <c r="N20" s="169">
        <f t="shared" si="2"/>
        <v>232726.00000000003</v>
      </c>
      <c r="O20" s="169">
        <f>SUM(H20+'5.1.3 Przeds. nowopowst.'!P20)-SUM('5.1.3 Przeds. niefinansowe'!P20+Q20+R20)</f>
        <v>225040.20921354095</v>
      </c>
      <c r="P20" s="169">
        <f>K20*'5.1.3 Podmioty REGON'!AR20</f>
        <v>5605.3980957453887</v>
      </c>
      <c r="Q20" s="169">
        <f>L20*'5.1.3 Podmioty REGON'!AS20</f>
        <v>1680.7907949790795</v>
      </c>
      <c r="R20" s="169">
        <f>M20*'5.1.3 Podmioty REGON'!AT20</f>
        <v>399.60189573459718</v>
      </c>
      <c r="S20" s="169">
        <f t="shared" si="3"/>
        <v>232326.39810426542</v>
      </c>
      <c r="T20" s="45">
        <f t="shared" si="4"/>
        <v>240706.80000000002</v>
      </c>
      <c r="U20" s="45">
        <f t="shared" si="5"/>
        <v>240309.43487970656</v>
      </c>
      <c r="V20" s="45">
        <f>SUM(N20+'5.1.3 Przeds. nowopowst.'!Q20)-SUM('5.1.3 Przeds. niefinansowe'!W20+X20+Y20)</f>
        <v>233135.00036557156</v>
      </c>
      <c r="W20" s="45">
        <f>P20*'5.1.3 Podmioty REGON'!AW20</f>
        <v>5520.8451731927071</v>
      </c>
      <c r="X20" s="45">
        <f>Q20*'5.1.3 Podmioty REGON'!AX20</f>
        <v>1653.5893409423088</v>
      </c>
      <c r="Y20" s="45">
        <f>R20*'5.1.3 Podmioty REGON'!AY20</f>
        <v>397.36512029344618</v>
      </c>
      <c r="Z20" s="46"/>
    </row>
    <row r="21" spans="1:26" x14ac:dyDescent="0.3">
      <c r="A21" s="141" t="s">
        <v>17</v>
      </c>
      <c r="B21" s="170">
        <v>100190</v>
      </c>
      <c r="C21" s="170">
        <f t="shared" si="0"/>
        <v>100107</v>
      </c>
      <c r="D21" s="170">
        <v>97419</v>
      </c>
      <c r="E21" s="170">
        <v>2088</v>
      </c>
      <c r="F21" s="170">
        <v>600</v>
      </c>
      <c r="G21" s="170">
        <v>83</v>
      </c>
      <c r="H21" s="170">
        <v>102072</v>
      </c>
      <c r="I21" s="170">
        <f t="shared" si="1"/>
        <v>101980</v>
      </c>
      <c r="J21" s="170">
        <v>99398</v>
      </c>
      <c r="K21" s="170">
        <v>1994</v>
      </c>
      <c r="L21" s="170">
        <v>588</v>
      </c>
      <c r="M21" s="170">
        <v>92</v>
      </c>
      <c r="N21" s="171">
        <f t="shared" si="2"/>
        <v>108204.99999999999</v>
      </c>
      <c r="O21" s="171">
        <f>SUM(H21+'5.1.3 Przeds. nowopowst.'!P21)-SUM('5.1.3 Przeds. niefinansowe'!P21+Q21+R21)</f>
        <v>105570.98186630094</v>
      </c>
      <c r="P21" s="171">
        <f>K21*'5.1.3 Podmioty REGON'!AR21</f>
        <v>1966.5686210284966</v>
      </c>
      <c r="Q21" s="171">
        <f>L21*'5.1.3 Podmioty REGON'!AS21</f>
        <v>578.17543859649118</v>
      </c>
      <c r="R21" s="171">
        <f>M21*'5.1.3 Podmioty REGON'!AT21</f>
        <v>89.274074074074065</v>
      </c>
      <c r="S21" s="171">
        <f t="shared" si="3"/>
        <v>108115.72592592592</v>
      </c>
      <c r="T21" s="48">
        <f t="shared" si="4"/>
        <v>110603.99999999999</v>
      </c>
      <c r="U21" s="48">
        <f t="shared" si="5"/>
        <v>110515.8723831884</v>
      </c>
      <c r="V21" s="48">
        <f>SUM(N21+'5.1.3 Przeds. nowopowst.'!Q21)-SUM('5.1.3 Przeds. niefinansowe'!W21+X21+Y21)</f>
        <v>108026.34772530376</v>
      </c>
      <c r="W21" s="48">
        <f>P21*'5.1.3 Podmioty REGON'!AW21</f>
        <v>1922.1930952158987</v>
      </c>
      <c r="X21" s="48">
        <f>Q21*'5.1.3 Podmioty REGON'!AX21</f>
        <v>567.33156266873743</v>
      </c>
      <c r="Y21" s="48">
        <f>R21*'5.1.3 Podmioty REGON'!AY21</f>
        <v>88.127616811585995</v>
      </c>
      <c r="Z21" s="46"/>
    </row>
    <row r="22" spans="1:26" x14ac:dyDescent="0.3">
      <c r="A22" s="172"/>
      <c r="B22" s="173"/>
      <c r="C22" s="173"/>
      <c r="D22" s="173"/>
      <c r="E22" s="173"/>
      <c r="F22" s="173"/>
      <c r="G22" s="173"/>
      <c r="H22" s="173"/>
      <c r="I22" s="173"/>
      <c r="J22" s="173"/>
      <c r="K22" s="173"/>
      <c r="L22" s="173"/>
      <c r="M22" s="173"/>
      <c r="N22" s="174"/>
      <c r="O22" s="174"/>
      <c r="P22" s="174"/>
      <c r="Q22" s="174"/>
      <c r="R22" s="174"/>
      <c r="S22" s="174"/>
      <c r="T22" s="13"/>
      <c r="U22" s="13"/>
      <c r="V22" s="13"/>
      <c r="W22" s="13"/>
      <c r="X22" s="13"/>
      <c r="Y22" s="13"/>
      <c r="Z22" s="46"/>
    </row>
    <row r="23" spans="1:26" x14ac:dyDescent="0.3">
      <c r="A23" s="53" t="s">
        <v>352</v>
      </c>
      <c r="B23" s="175"/>
      <c r="C23" s="175"/>
      <c r="D23" s="175"/>
      <c r="E23" s="175"/>
      <c r="F23" s="175"/>
      <c r="G23" s="175"/>
      <c r="H23" s="175"/>
      <c r="I23" s="175"/>
      <c r="J23" s="175"/>
      <c r="K23" s="175"/>
      <c r="L23" s="175"/>
      <c r="M23" s="175"/>
      <c r="N23" s="176"/>
      <c r="O23" s="176"/>
      <c r="P23" s="176"/>
      <c r="Q23" s="176"/>
      <c r="R23" s="176"/>
      <c r="S23" s="176"/>
      <c r="T23" s="177"/>
      <c r="U23" s="177"/>
      <c r="V23" s="177"/>
      <c r="W23" s="177"/>
      <c r="X23" s="177"/>
      <c r="Y23" s="178"/>
      <c r="Z23" s="46"/>
    </row>
    <row r="24" spans="1:26" x14ac:dyDescent="0.3">
      <c r="A24" s="172"/>
      <c r="B24" s="173"/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4"/>
      <c r="O24" s="174"/>
      <c r="P24" s="174"/>
      <c r="Q24" s="174"/>
      <c r="R24" s="174"/>
      <c r="S24" s="174"/>
      <c r="T24" s="13"/>
      <c r="U24" s="13"/>
      <c r="V24" s="13"/>
      <c r="W24" s="13"/>
      <c r="X24" s="13"/>
      <c r="Y24" s="13"/>
      <c r="Z24" s="46"/>
    </row>
    <row r="25" spans="1:26" x14ac:dyDescent="0.3">
      <c r="A25" s="53" t="s">
        <v>353</v>
      </c>
      <c r="B25" s="175"/>
      <c r="C25" s="175"/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6"/>
      <c r="O25" s="176"/>
      <c r="P25" s="176"/>
      <c r="Q25" s="176"/>
      <c r="R25" s="176"/>
      <c r="S25" s="176"/>
      <c r="T25" s="177"/>
      <c r="U25" s="177"/>
      <c r="V25" s="177"/>
      <c r="W25" s="177"/>
      <c r="X25" s="177"/>
      <c r="Y25" s="178"/>
      <c r="Z25" s="46"/>
    </row>
    <row r="26" spans="1:26" x14ac:dyDescent="0.3">
      <c r="A26" s="179"/>
      <c r="B26" s="173"/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4"/>
      <c r="O26" s="174"/>
      <c r="P26" s="174"/>
      <c r="Q26" s="174"/>
      <c r="R26" s="174"/>
      <c r="S26" s="174"/>
      <c r="T26" s="13"/>
      <c r="U26" s="13"/>
      <c r="V26" s="13"/>
      <c r="W26" s="13"/>
      <c r="X26" s="13"/>
      <c r="Y26" s="13"/>
      <c r="Z26" s="46"/>
    </row>
    <row r="27" spans="1:26" x14ac:dyDescent="0.3">
      <c r="A27" s="53" t="s">
        <v>354</v>
      </c>
      <c r="B27" s="175"/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6"/>
      <c r="O27" s="176"/>
      <c r="P27" s="176"/>
      <c r="Q27" s="176"/>
      <c r="R27" s="176"/>
      <c r="S27" s="176"/>
      <c r="T27" s="177"/>
      <c r="U27" s="177"/>
      <c r="V27" s="177"/>
      <c r="W27" s="177"/>
      <c r="X27" s="177"/>
      <c r="Y27" s="178"/>
      <c r="Z27" s="46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5.1.1 PKB</vt:lpstr>
      <vt:lpstr>5.1.1 Nakłady B+R</vt:lpstr>
      <vt:lpstr>5.1.1 Nakłady_razem</vt:lpstr>
      <vt:lpstr>5.1.1 Nakłady lata</vt:lpstr>
      <vt:lpstr>5.1.2 Fin. zew_woj</vt:lpstr>
      <vt:lpstr>5.1.2 Fin. ze. lata</vt:lpstr>
      <vt:lpstr>5.1.3 Podmioty REGON</vt:lpstr>
      <vt:lpstr>5.1.3 Przeds. nowopowst.</vt:lpstr>
      <vt:lpstr>5.1.3 Przeds. niefinansowe</vt:lpstr>
      <vt:lpstr>5.1.3 Plany inwestycyjne</vt:lpstr>
      <vt:lpstr>5.1.3 SL IF Pożyczki</vt:lpstr>
      <vt:lpstr>5.1.3 Luka_woj</vt:lpstr>
      <vt:lpstr>5.1.3 Luka_lata</vt:lpstr>
      <vt:lpstr>5.1.4 Luka kapitał</vt:lpstr>
      <vt:lpstr>5.1.4 Luka_kapitał_lata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Reviewer</cp:lastModifiedBy>
  <dcterms:created xsi:type="dcterms:W3CDTF">2019-12-28T17:42:53Z</dcterms:created>
  <dcterms:modified xsi:type="dcterms:W3CDTF">2021-03-15T12:30:15Z</dcterms:modified>
</cp:coreProperties>
</file>